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Denne_projektmappe" defaultThemeVersion="124226"/>
  <mc:AlternateContent xmlns:mc="http://schemas.openxmlformats.org/markup-compatibility/2006">
    <mc:Choice Requires="x15">
      <x15ac:absPath xmlns:x15ac="http://schemas.microsoft.com/office/spreadsheetml/2010/11/ac" url="C:\Users\B729\Downloads\"/>
    </mc:Choice>
  </mc:AlternateContent>
  <xr:revisionPtr revIDLastSave="0" documentId="13_ncr:1_{2AF215B9-FF21-4285-A8C3-29947EB7F5ED}" xr6:coauthVersionLast="47" xr6:coauthVersionMax="47" xr10:uidLastSave="{00000000-0000-0000-0000-000000000000}"/>
  <bookViews>
    <workbookView xWindow="-120" yWindow="-120" windowWidth="29040" windowHeight="15720" xr2:uid="{00000000-000D-0000-FFFF-FFFF00000000}"/>
  </bookViews>
  <sheets>
    <sheet name="BarselsfondenTilskud" sheetId="1" r:id="rId1"/>
    <sheet name="Dagpengesatser" sheetId="5" r:id="rId2"/>
    <sheet name="Info" sheetId="7" r:id="rId3"/>
    <sheet name="ToDO og spm" sheetId="8" r:id="rId4"/>
  </sheets>
  <externalReferences>
    <externalReference r:id="rId5"/>
  </externalReferences>
  <definedNames>
    <definedName name="Start">'[1]Uge for Uge beregner'!$D$21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7" i="1" l="1"/>
  <c r="E257" i="1"/>
  <c r="E256" i="1"/>
  <c r="F262" i="1"/>
  <c r="K17" i="1"/>
  <c r="L17" i="1" s="1"/>
  <c r="F261" i="1"/>
  <c r="B269" i="1"/>
  <c r="B276" i="1" s="1"/>
  <c r="B277" i="1" l="1"/>
  <c r="B271" i="1"/>
  <c r="B266" i="1"/>
  <c r="B267" i="1"/>
  <c r="B268" i="1"/>
  <c r="B272" i="1"/>
  <c r="B273" i="1"/>
  <c r="B274" i="1"/>
  <c r="B275" i="1"/>
  <c r="F260" i="1"/>
  <c r="A33" i="1"/>
  <c r="F99" i="1" l="1"/>
  <c r="G8" i="1"/>
  <c r="G99" i="1" l="1"/>
  <c r="E114" i="1" l="1"/>
  <c r="D114" i="1"/>
  <c r="F101" i="1"/>
  <c r="F79" i="1"/>
  <c r="E77" i="1"/>
  <c r="B134" i="1" s="1"/>
  <c r="B133" i="1"/>
  <c r="B139" i="1" l="1"/>
  <c r="L2" i="1"/>
  <c r="A34" i="1"/>
  <c r="L58" i="1"/>
  <c r="L59" i="1"/>
  <c r="L60" i="1"/>
  <c r="L57" i="1"/>
  <c r="K58" i="1"/>
  <c r="K59" i="1"/>
  <c r="N59" i="1" s="1" a="1"/>
  <c r="N59" i="1" s="1"/>
  <c r="K60" i="1"/>
  <c r="N60" i="1" s="1" a="1"/>
  <c r="N60" i="1" s="1"/>
  <c r="K56" i="1"/>
  <c r="K57" i="1"/>
  <c r="L56" i="1"/>
  <c r="O56" i="1" l="1" a="1"/>
  <c r="O56" i="1" s="1"/>
  <c r="N58" i="1" a="1"/>
  <c r="N58" i="1" s="1"/>
  <c r="N57" i="1" a="1"/>
  <c r="N57" i="1" s="1"/>
  <c r="N56" i="1" a="1"/>
  <c r="N56" i="1" s="1"/>
  <c r="S56" i="1" a="1"/>
  <c r="S56" i="1" s="1"/>
  <c r="K63" i="1"/>
  <c r="L63" i="1"/>
  <c r="K64" i="1"/>
  <c r="L64" i="1"/>
  <c r="A74" i="1"/>
  <c r="A40" i="1"/>
  <c r="G77" i="1"/>
  <c r="K45" i="1"/>
  <c r="A46" i="1" s="1"/>
  <c r="M39" i="1"/>
  <c r="K72" i="1"/>
  <c r="L30" i="1"/>
  <c r="B129" i="1" s="1"/>
  <c r="M30" i="1"/>
  <c r="E158" i="1"/>
  <c r="E160" i="1"/>
  <c r="E161" i="1"/>
  <c r="E162" i="1"/>
  <c r="E163" i="1"/>
  <c r="E164" i="1"/>
  <c r="E165" i="1"/>
  <c r="E166" i="1"/>
  <c r="E167" i="1"/>
  <c r="E168" i="1"/>
  <c r="B169" i="1"/>
  <c r="F80" i="1"/>
  <c r="F82" i="1"/>
  <c r="F81" i="1"/>
  <c r="E79" i="1"/>
  <c r="E80" i="1"/>
  <c r="E81" i="1"/>
  <c r="E82" i="1"/>
  <c r="E83" i="1"/>
  <c r="F83" i="1"/>
  <c r="E84" i="1"/>
  <c r="F84" i="1"/>
  <c r="E85" i="1"/>
  <c r="F85" i="1"/>
  <c r="E86" i="1"/>
  <c r="F86" i="1"/>
  <c r="E87" i="1"/>
  <c r="F87" i="1"/>
  <c r="E88" i="1"/>
  <c r="F88" i="1"/>
  <c r="E89" i="1"/>
  <c r="F89" i="1"/>
  <c r="E90" i="1"/>
  <c r="F90" i="1"/>
  <c r="K42" i="1"/>
  <c r="A43" i="1" s="1"/>
  <c r="K48" i="1"/>
  <c r="A49" i="1" s="1"/>
  <c r="K51" i="1"/>
  <c r="A52" i="1" s="1"/>
  <c r="B135" i="1" l="1"/>
  <c r="A194" i="1" a="1"/>
  <c r="A194" i="1" s="1"/>
  <c r="D100" i="1"/>
  <c r="F258" i="1" s="1"/>
  <c r="D98" i="1"/>
  <c r="D102" i="1" s="1"/>
  <c r="B145" i="1"/>
  <c r="B143" i="1" s="1"/>
  <c r="B146" i="1" s="1"/>
  <c r="S158" i="1"/>
  <c r="T56" i="1" a="1"/>
  <c r="T56" i="1" s="1"/>
  <c r="U56" i="1" s="1"/>
  <c r="N61" i="1"/>
  <c r="A68" i="1"/>
  <c r="K68" i="1"/>
  <c r="B100" i="1" s="1"/>
  <c r="F91" i="1"/>
  <c r="B130" i="1"/>
  <c r="C145" i="1"/>
  <c r="D99" i="1"/>
  <c r="C144" i="1"/>
  <c r="C143" i="1"/>
  <c r="B101" i="1" l="1"/>
  <c r="D148" i="1"/>
  <c r="D108" i="1"/>
  <c r="C146" i="1"/>
  <c r="C152" i="1" s="1"/>
  <c r="B144" i="1"/>
  <c r="B152" i="1" s="1"/>
  <c r="K158" i="1"/>
  <c r="X158" i="1"/>
  <c r="A157" i="1"/>
  <c r="A179" i="1"/>
  <c r="G179" i="1"/>
  <c r="AG158" i="1" s="1"/>
  <c r="S159" i="1"/>
  <c r="X159" i="1" s="1"/>
  <c r="V158" i="1"/>
  <c r="AH158" i="1"/>
  <c r="L3" i="1"/>
  <c r="E258" i="1" l="1"/>
  <c r="F259" i="1" s="1"/>
  <c r="D149" i="1"/>
  <c r="B151" i="1" s="1"/>
  <c r="U158" i="1" s="1"/>
  <c r="W158" i="1" s="1"/>
  <c r="C151" i="1"/>
  <c r="B98" i="1"/>
  <c r="D104" i="1" s="1"/>
  <c r="AI158" i="1"/>
  <c r="AJ158" i="1" s="1"/>
  <c r="K159" i="1"/>
  <c r="A158" i="1"/>
  <c r="S160" i="1"/>
  <c r="A180" i="1"/>
  <c r="U159" i="1"/>
  <c r="W159" i="1" s="1"/>
  <c r="V159" i="1"/>
  <c r="G180" i="1"/>
  <c r="AH159" i="1"/>
  <c r="AB158" i="1" l="1"/>
  <c r="D109" i="1"/>
  <c r="AD158" i="1"/>
  <c r="AI159" i="1"/>
  <c r="AJ159" i="1" s="1"/>
  <c r="K160" i="1"/>
  <c r="AG159" i="1"/>
  <c r="X160" i="1"/>
  <c r="A159" i="1"/>
  <c r="U160" i="1"/>
  <c r="W160" i="1" s="1"/>
  <c r="V160" i="1"/>
  <c r="AH160" i="1"/>
  <c r="S161" i="1"/>
  <c r="A181" i="1"/>
  <c r="G181" i="1"/>
  <c r="AG160" i="1" s="1"/>
  <c r="AI160" i="1" l="1"/>
  <c r="K161" i="1"/>
  <c r="E157" i="1"/>
  <c r="E159" i="1"/>
  <c r="X161" i="1"/>
  <c r="A160" i="1"/>
  <c r="A182" i="1"/>
  <c r="AB161" i="1"/>
  <c r="G182" i="1"/>
  <c r="AG161" i="1" s="1"/>
  <c r="AD161" i="1"/>
  <c r="U161" i="1"/>
  <c r="S162" i="1"/>
  <c r="V161" i="1"/>
  <c r="AH161" i="1"/>
  <c r="B99" i="1"/>
  <c r="AJ160" i="1" l="1"/>
  <c r="E110" i="1"/>
  <c r="B109" i="1"/>
  <c r="K162" i="1"/>
  <c r="E169" i="1"/>
  <c r="AI161" i="1"/>
  <c r="AJ161" i="1" s="1"/>
  <c r="X162" i="1"/>
  <c r="L162" i="1" s="1"/>
  <c r="A161" i="1"/>
  <c r="W161" i="1"/>
  <c r="S163" i="1"/>
  <c r="A183" i="1"/>
  <c r="AB162" i="1"/>
  <c r="U162" i="1"/>
  <c r="V162" i="1"/>
  <c r="AH162" i="1"/>
  <c r="G183" i="1"/>
  <c r="AD162" i="1"/>
  <c r="AD159" i="1"/>
  <c r="AB159" i="1"/>
  <c r="AD160" i="1"/>
  <c r="AB160" i="1"/>
  <c r="B102" i="1"/>
  <c r="E109" i="1" l="1"/>
  <c r="D105" i="1"/>
  <c r="B108" i="1" s="1"/>
  <c r="AC159" i="1" s="1"/>
  <c r="N159" i="1" s="1"/>
  <c r="AI162" i="1"/>
  <c r="AJ162" i="1" s="1"/>
  <c r="AC162" i="1"/>
  <c r="AE162" i="1" s="1"/>
  <c r="K163" i="1"/>
  <c r="Z158" i="1"/>
  <c r="Z161" i="1"/>
  <c r="AG162" i="1"/>
  <c r="X163" i="1"/>
  <c r="L163" i="1" s="1"/>
  <c r="A162" i="1"/>
  <c r="W162" i="1"/>
  <c r="Z160" i="1"/>
  <c r="Z159" i="1"/>
  <c r="U163" i="1"/>
  <c r="W163" i="1" s="1"/>
  <c r="V163" i="1"/>
  <c r="AH163" i="1"/>
  <c r="S164" i="1"/>
  <c r="K164" i="1" s="1"/>
  <c r="A184" i="1"/>
  <c r="AB163" i="1"/>
  <c r="AC163" i="1" s="1"/>
  <c r="G184" i="1"/>
  <c r="AG163" i="1" s="1"/>
  <c r="AD163" i="1"/>
  <c r="AC158" i="1" l="1"/>
  <c r="AC161" i="1"/>
  <c r="AC160" i="1"/>
  <c r="N160" i="1" s="1"/>
  <c r="M162" i="1"/>
  <c r="P162" i="1"/>
  <c r="Q162" i="1" s="1"/>
  <c r="R162" i="1" s="1"/>
  <c r="P159" i="1"/>
  <c r="AI163" i="1"/>
  <c r="N162" i="1"/>
  <c r="N163" i="1"/>
  <c r="Z162" i="1"/>
  <c r="AF162" i="1"/>
  <c r="Y162" i="1" s="1"/>
  <c r="AE163" i="1"/>
  <c r="X164" i="1"/>
  <c r="L164" i="1" s="1"/>
  <c r="A163" i="1"/>
  <c r="A185" i="1"/>
  <c r="AB164" i="1"/>
  <c r="AC164" i="1" s="1"/>
  <c r="G185" i="1"/>
  <c r="AG164" i="1" s="1"/>
  <c r="AD164" i="1"/>
  <c r="U164" i="1"/>
  <c r="W164" i="1" s="1"/>
  <c r="S165" i="1"/>
  <c r="AH164" i="1"/>
  <c r="V164" i="1"/>
  <c r="AE159" i="1"/>
  <c r="L159" i="1" s="1"/>
  <c r="AE158" i="1" l="1"/>
  <c r="M158" i="1" s="1"/>
  <c r="N158" i="1"/>
  <c r="P158" i="1"/>
  <c r="N161" i="1"/>
  <c r="P161" i="1"/>
  <c r="AE161" i="1"/>
  <c r="L158" i="1"/>
  <c r="P160" i="1"/>
  <c r="AE160" i="1"/>
  <c r="M163" i="1"/>
  <c r="Q159" i="1"/>
  <c r="R159" i="1" s="1"/>
  <c r="AJ163" i="1"/>
  <c r="AF163" i="1" s="1"/>
  <c r="AI164" i="1"/>
  <c r="AJ164" i="1" s="1"/>
  <c r="Z164" i="1" s="1"/>
  <c r="T162" i="1"/>
  <c r="M159" i="1"/>
  <c r="K165" i="1"/>
  <c r="M164" i="1"/>
  <c r="N164" i="1"/>
  <c r="AF159" i="1"/>
  <c r="O162" i="1"/>
  <c r="AA162" i="1"/>
  <c r="AE164" i="1"/>
  <c r="X165" i="1"/>
  <c r="L165" i="1" s="1"/>
  <c r="A164" i="1"/>
  <c r="S166" i="1"/>
  <c r="K166" i="1" s="1"/>
  <c r="A186" i="1"/>
  <c r="AB165" i="1"/>
  <c r="AC165" i="1" s="1"/>
  <c r="U165" i="1"/>
  <c r="W165" i="1" s="1"/>
  <c r="V165" i="1"/>
  <c r="AD165" i="1"/>
  <c r="AH165" i="1"/>
  <c r="G186" i="1"/>
  <c r="AG165" i="1" s="1"/>
  <c r="AF158" i="1" l="1"/>
  <c r="Y158" i="1" s="1"/>
  <c r="O158" i="1"/>
  <c r="Q158" i="1"/>
  <c r="R158" i="1" s="1"/>
  <c r="T159" i="1"/>
  <c r="Y159" i="1"/>
  <c r="AF161" i="1"/>
  <c r="L161" i="1"/>
  <c r="Q161" i="1"/>
  <c r="R161" i="1" s="1"/>
  <c r="M161" i="1"/>
  <c r="AF160" i="1"/>
  <c r="T160" i="1" s="1"/>
  <c r="L160" i="1"/>
  <c r="M160" i="1"/>
  <c r="Q160" i="1"/>
  <c r="R160" i="1" s="1"/>
  <c r="Z163" i="1"/>
  <c r="O163" i="1" s="1"/>
  <c r="P163" i="1"/>
  <c r="Q163" i="1" s="1"/>
  <c r="R163" i="1" s="1"/>
  <c r="P164" i="1"/>
  <c r="Q164" i="1" s="1"/>
  <c r="R164" i="1" s="1"/>
  <c r="E183" i="1"/>
  <c r="AK162" i="1" s="1"/>
  <c r="N165" i="1"/>
  <c r="Y163" i="1"/>
  <c r="T163" i="1"/>
  <c r="O159" i="1"/>
  <c r="AA159" i="1"/>
  <c r="AA163" i="1"/>
  <c r="AF164" i="1"/>
  <c r="O164" i="1"/>
  <c r="AI165" i="1"/>
  <c r="AJ165" i="1" s="1"/>
  <c r="Z165" i="1" s="1"/>
  <c r="AE165" i="1"/>
  <c r="M165" i="1" s="1"/>
  <c r="X166" i="1"/>
  <c r="L166" i="1" s="1"/>
  <c r="A165" i="1"/>
  <c r="U166" i="1"/>
  <c r="V166" i="1"/>
  <c r="AH166" i="1"/>
  <c r="S167" i="1"/>
  <c r="K167" i="1" s="1"/>
  <c r="A187" i="1"/>
  <c r="AB166" i="1"/>
  <c r="AC166" i="1" s="1"/>
  <c r="G187" i="1"/>
  <c r="AG166" i="1" s="1"/>
  <c r="AD166" i="1"/>
  <c r="AA158" i="1" l="1"/>
  <c r="T158" i="1"/>
  <c r="O161" i="1"/>
  <c r="Y160" i="1"/>
  <c r="AA160" i="1"/>
  <c r="T161" i="1"/>
  <c r="AA161" i="1"/>
  <c r="Y161" i="1"/>
  <c r="O160" i="1"/>
  <c r="P165" i="1"/>
  <c r="Q165" i="1" s="1"/>
  <c r="R165" i="1" s="1"/>
  <c r="AI166" i="1"/>
  <c r="AJ166" i="1" s="1"/>
  <c r="P166" i="1" s="1"/>
  <c r="AA164" i="1"/>
  <c r="T164" i="1"/>
  <c r="N166" i="1"/>
  <c r="E184" i="1"/>
  <c r="AK163" i="1" s="1"/>
  <c r="E180" i="1"/>
  <c r="AK159" i="1" s="1"/>
  <c r="Y164" i="1"/>
  <c r="O165" i="1"/>
  <c r="AE166" i="1"/>
  <c r="AF165" i="1"/>
  <c r="T165" i="1" s="1"/>
  <c r="X167" i="1"/>
  <c r="A166" i="1"/>
  <c r="W166" i="1"/>
  <c r="A188" i="1"/>
  <c r="AB167" i="1"/>
  <c r="AC167" i="1" s="1"/>
  <c r="N167" i="1" s="1"/>
  <c r="G188" i="1"/>
  <c r="AG167" i="1" s="1"/>
  <c r="AD167" i="1"/>
  <c r="U167" i="1"/>
  <c r="S168" i="1"/>
  <c r="V167" i="1"/>
  <c r="AH167" i="1"/>
  <c r="E179" i="1" l="1"/>
  <c r="AK158" i="1" s="1"/>
  <c r="E181" i="1"/>
  <c r="AK160" i="1" s="1"/>
  <c r="E182" i="1"/>
  <c r="AK161" i="1" s="1"/>
  <c r="Z166" i="1"/>
  <c r="Q166" i="1"/>
  <c r="R166" i="1" s="1"/>
  <c r="E185" i="1"/>
  <c r="AK164" i="1" s="1"/>
  <c r="AF166" i="1"/>
  <c r="Y166" i="1" s="1"/>
  <c r="M166" i="1"/>
  <c r="K168" i="1"/>
  <c r="AE167" i="1"/>
  <c r="AI167" i="1"/>
  <c r="AJ167" i="1" s="1"/>
  <c r="P167" i="1" s="1"/>
  <c r="Y165" i="1"/>
  <c r="AA165" i="1"/>
  <c r="X168" i="1"/>
  <c r="L168" i="1" s="1"/>
  <c r="A167" i="1"/>
  <c r="W167" i="1"/>
  <c r="S169" i="1"/>
  <c r="A189" i="1"/>
  <c r="AB168" i="1"/>
  <c r="AC168" i="1" s="1"/>
  <c r="U168" i="1"/>
  <c r="W168" i="1" s="1"/>
  <c r="V168" i="1"/>
  <c r="G189" i="1"/>
  <c r="AH168" i="1"/>
  <c r="AD168" i="1"/>
  <c r="T166" i="1" l="1"/>
  <c r="L167" i="1"/>
  <c r="O166" i="1"/>
  <c r="N168" i="1"/>
  <c r="M167" i="1"/>
  <c r="Q167" i="1"/>
  <c r="R167" i="1" s="1"/>
  <c r="AA166" i="1"/>
  <c r="AI168" i="1"/>
  <c r="AJ168" i="1" s="1"/>
  <c r="Z168" i="1" s="1"/>
  <c r="K169" i="1"/>
  <c r="AF167" i="1"/>
  <c r="AA167" i="1" s="1"/>
  <c r="E186" i="1"/>
  <c r="Z167" i="1"/>
  <c r="AE168" i="1"/>
  <c r="AG168" i="1"/>
  <c r="X169" i="1"/>
  <c r="A168" i="1"/>
  <c r="U169" i="1"/>
  <c r="S170" i="1"/>
  <c r="V169" i="1"/>
  <c r="AH169" i="1"/>
  <c r="A190" i="1"/>
  <c r="AB169" i="1"/>
  <c r="AC169" i="1" s="1"/>
  <c r="N169" i="1" s="1"/>
  <c r="G190" i="1"/>
  <c r="AG169" i="1" s="1"/>
  <c r="AD169" i="1"/>
  <c r="E187" i="1" l="1"/>
  <c r="AK166" i="1" s="1"/>
  <c r="O167" i="1"/>
  <c r="P168" i="1"/>
  <c r="Q168" i="1" s="1"/>
  <c r="R168" i="1" s="1"/>
  <c r="M168" i="1"/>
  <c r="O168" i="1" s="1"/>
  <c r="X170" i="1"/>
  <c r="L169" i="1"/>
  <c r="L170" i="1" s="1"/>
  <c r="AK165" i="1"/>
  <c r="T167" i="1"/>
  <c r="Y167" i="1"/>
  <c r="N170" i="1"/>
  <c r="AF168" i="1"/>
  <c r="AE169" i="1"/>
  <c r="AI169" i="1"/>
  <c r="AJ169" i="1" s="1"/>
  <c r="P169" i="1" s="1"/>
  <c r="W169" i="1"/>
  <c r="M169" i="1" l="1"/>
  <c r="M170" i="1" s="1"/>
  <c r="Q169" i="1"/>
  <c r="R169" i="1" s="1"/>
  <c r="R170" i="1" s="1"/>
  <c r="A195" i="1"/>
  <c r="E188" i="1"/>
  <c r="Y168" i="1"/>
  <c r="T168" i="1"/>
  <c r="Z169" i="1"/>
  <c r="AA168" i="1"/>
  <c r="AF169" i="1"/>
  <c r="E189" i="1" l="1"/>
  <c r="AK168" i="1" s="1"/>
  <c r="AK167" i="1"/>
  <c r="Q170" i="1"/>
  <c r="O169" i="1"/>
  <c r="O170" i="1" s="1"/>
  <c r="Y169" i="1"/>
  <c r="Y170" i="1" s="1"/>
  <c r="T169" i="1"/>
  <c r="AA169" i="1"/>
  <c r="AA170" i="1" s="1"/>
  <c r="E190" i="1" l="1"/>
  <c r="E191" i="1" s="1"/>
  <c r="AK169" i="1" l="1"/>
  <c r="AK170" i="1" s="1"/>
  <c r="A201" i="1" s="1"/>
  <c r="D200" i="1" s="1"/>
  <c r="R173" i="1" s="1"/>
  <c r="R175" i="1" s="1"/>
  <c r="A200" i="1" l="1"/>
  <c r="F20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A19H</author>
    <author>Markus Esbjørn Sloth</author>
  </authors>
  <commentList>
    <comment ref="D27" authorId="0" shapeId="0" xr:uid="{6578E72D-33DE-4C52-B065-F03B993EF021}">
      <text>
        <r>
          <rPr>
            <b/>
            <sz val="8"/>
            <color indexed="81"/>
            <rFont val="Tahoma"/>
            <family val="2"/>
          </rPr>
          <t>Angiv i formatet x.xx.xx.x
Fx 
Administration = 6.45.51.1
Børnehave = 5.25.13.1</t>
        </r>
      </text>
    </comment>
    <comment ref="D39" authorId="1" shapeId="0" xr:uid="{8F71ABEE-01D6-41DE-B440-B3D81A755511}">
      <text>
        <r>
          <rPr>
            <sz val="9"/>
            <color indexed="81"/>
            <rFont val="Tahoma"/>
            <family val="2"/>
          </rPr>
          <t>37 timer svarer til fuldtid.</t>
        </r>
      </text>
    </comment>
    <comment ref="M39" authorId="1" shapeId="0" xr:uid="{D22D1090-B0F0-48CD-8246-52DD4414E744}">
      <text>
        <r>
          <rPr>
            <b/>
            <sz val="9"/>
            <color indexed="81"/>
            <rFont val="Tahoma"/>
            <family val="2"/>
          </rPr>
          <t>Markus Esbjørn Sloth:</t>
        </r>
        <r>
          <rPr>
            <sz val="9"/>
            <color indexed="81"/>
            <rFont val="Tahoma"/>
            <family val="2"/>
          </rPr>
          <t xml:space="preserve">
37timer=1 
15 timer = 0,4
Der refunderes for maks 37 timer
</t>
        </r>
      </text>
    </comment>
    <comment ref="E77" authorId="1" shapeId="0" xr:uid="{0EA752B4-23A0-4C42-B720-6D3DE23B1F14}">
      <text>
        <r>
          <rPr>
            <b/>
            <sz val="9"/>
            <color indexed="81"/>
            <rFont val="Tahoma"/>
            <family val="2"/>
          </rPr>
          <t>Markus Esbjørn Sloth:</t>
        </r>
        <r>
          <rPr>
            <sz val="9"/>
            <color indexed="81"/>
            <rFont val="Tahoma"/>
            <family val="2"/>
          </rPr>
          <t xml:space="preserve">
Første dag med dagpenge, medmindre der er undtagelser 
</t>
        </r>
      </text>
    </comment>
    <comment ref="G77" authorId="1" shapeId="0" xr:uid="{6C15BAC0-0050-4711-BA8D-57894C1B2D92}">
      <text>
        <r>
          <rPr>
            <b/>
            <sz val="9"/>
            <color indexed="81"/>
            <rFont val="Tahoma"/>
            <family val="2"/>
          </rPr>
          <t>Markus Esbjørn Sloth:</t>
        </r>
        <r>
          <rPr>
            <sz val="9"/>
            <color indexed="81"/>
            <rFont val="Tahoma"/>
            <family val="2"/>
          </rPr>
          <t xml:space="preserve">
De første fire uger af de 8 ugers orlov før forventet fødsel, er enheden ikke berettiget til barselsdagpenge. Hele lønudgiften dækkes af tilskud fra Barselsfonden. </t>
        </r>
      </text>
    </comment>
    <comment ref="B101" authorId="1" shapeId="0" xr:uid="{9A6844F6-6698-4655-9801-A56207154D90}">
      <text>
        <r>
          <rPr>
            <b/>
            <sz val="9"/>
            <color indexed="81"/>
            <rFont val="Tahoma"/>
            <family val="2"/>
          </rPr>
          <t>Markus Esbjørn Sloth:</t>
        </r>
        <r>
          <rPr>
            <sz val="9"/>
            <color indexed="81"/>
            <rFont val="Tahoma"/>
            <family val="2"/>
          </rPr>
          <t xml:space="preserve">
dette tal bruges grundet hvordan tabellen er strukturet. Blev ændret i version 1.1
Første linje er blot for at skabe en fejl
Hvis medarbejderen bliver beregtigt til barselsdagpenge før første dag i nuværende år bruges første dag i den ansøgte periode for barselsdagpenge. </t>
        </r>
      </text>
    </comment>
    <comment ref="B108" authorId="1" shapeId="0" xr:uid="{B5E7A117-3B6C-4CEA-B8F1-43B644AAF5FE}">
      <text>
        <r>
          <rPr>
            <b/>
            <sz val="9"/>
            <color indexed="81"/>
            <rFont val="Tahoma"/>
            <family val="2"/>
          </rPr>
          <t>Markus Esbjørn Sloth:</t>
        </r>
        <r>
          <rPr>
            <sz val="9"/>
            <color indexed="81"/>
            <rFont val="Tahoma"/>
            <family val="2"/>
          </rPr>
          <t xml:space="preserve">
om det skal beregnes per dag eller per måned</t>
        </r>
      </text>
    </comment>
    <comment ref="B109" authorId="1" shapeId="0" xr:uid="{A21058A6-4A21-4AD4-A700-F3055CB7A3F9}">
      <text>
        <r>
          <rPr>
            <b/>
            <sz val="9"/>
            <color indexed="81"/>
            <rFont val="Tahoma"/>
            <family val="2"/>
          </rPr>
          <t>Markus Esbjørn Sloth:</t>
        </r>
        <r>
          <rPr>
            <sz val="9"/>
            <color indexed="81"/>
            <rFont val="Tahoma"/>
            <family val="2"/>
          </rPr>
          <t xml:space="preserve">
antal hverdage
</t>
        </r>
      </text>
    </comment>
    <comment ref="M157" authorId="1" shapeId="0" xr:uid="{FCDF000F-D8F3-4DA2-926F-95680BF5406B}">
      <text>
        <r>
          <rPr>
            <b/>
            <sz val="9"/>
            <color indexed="81"/>
            <rFont val="Tahoma"/>
            <family val="2"/>
          </rPr>
          <t>Markus Esbjørn Sloth:</t>
        </r>
        <r>
          <rPr>
            <sz val="9"/>
            <color indexed="81"/>
            <rFont val="Tahoma"/>
            <family val="2"/>
          </rPr>
          <t xml:space="preserve">
Bemærk at noget af det fratrækkes
</t>
        </r>
      </text>
    </comment>
    <comment ref="S157" authorId="1" shapeId="0" xr:uid="{6BEDFE7D-33C4-4E82-8139-6638FA5A102E}">
      <text>
        <r>
          <rPr>
            <b/>
            <sz val="9"/>
            <color indexed="81"/>
            <rFont val="Tahoma"/>
            <family val="2"/>
          </rPr>
          <t>Markus Esbjørn Sloth:</t>
        </r>
        <r>
          <rPr>
            <sz val="9"/>
            <color indexed="81"/>
            <rFont val="Tahoma"/>
            <family val="2"/>
          </rPr>
          <t xml:space="preserve">
Kolonnen bruges til at definere, hvilke måneder der er aktuelle i forhold til både barselsdagpenge, graviditetsgener samt nedsatte graviditetsgener.
</t>
        </r>
      </text>
    </comment>
    <comment ref="V157" authorId="1" shapeId="0" xr:uid="{AA9435BC-A2C8-440C-840A-106210E8DD42}">
      <text>
        <r>
          <rPr>
            <b/>
            <sz val="9"/>
            <color indexed="81"/>
            <rFont val="Tahoma"/>
            <family val="2"/>
          </rPr>
          <t>Markus Esbjørn Sloth:</t>
        </r>
        <r>
          <rPr>
            <sz val="9"/>
            <color indexed="81"/>
            <rFont val="Tahoma"/>
            <family val="2"/>
          </rPr>
          <t xml:space="preserve">
Ret til kompensation via barselsfonden og/eller barselsdagpenge for den alm del af
 barselsperioden. GG og NSK er ikke medtaget her </t>
        </r>
      </text>
    </comment>
    <comment ref="X157" authorId="1" shapeId="0" xr:uid="{09E099E9-486D-4CD6-91FD-B83565EBB475}">
      <text>
        <r>
          <rPr>
            <b/>
            <sz val="9"/>
            <color indexed="81"/>
            <rFont val="Tahoma"/>
            <family val="2"/>
          </rPr>
          <t>Markus Esbjørn Sloth:</t>
        </r>
        <r>
          <rPr>
            <sz val="9"/>
            <color indexed="81"/>
            <rFont val="Tahoma"/>
            <family val="2"/>
          </rPr>
          <t xml:space="preserve">
Den her tæller antal dage for de måneder du har i perioden 
</t>
        </r>
      </text>
    </comment>
    <comment ref="O158" authorId="1" shapeId="0" xr:uid="{E398CDDF-00B6-4687-9F95-61B61651144E}">
      <text>
        <r>
          <rPr>
            <b/>
            <sz val="9"/>
            <color indexed="81"/>
            <rFont val="Tahoma"/>
            <family val="2"/>
          </rPr>
          <t>Markus Esbjørn Sloth:</t>
        </r>
        <r>
          <rPr>
            <sz val="9"/>
            <color indexed="81"/>
            <rFont val="Tahoma"/>
            <family val="2"/>
          </rPr>
          <t xml:space="preserve">
Den første IF er for et særtilfælde hvor to skæve perioder giver en hel periode
</t>
        </r>
      </text>
    </comment>
    <comment ref="AB158" authorId="1" shapeId="0" xr:uid="{EAE44BB0-5846-443E-9AE7-A16BB7DA1ACD}">
      <text>
        <r>
          <rPr>
            <b/>
            <sz val="9"/>
            <color indexed="81"/>
            <rFont val="Tahoma"/>
            <family val="2"/>
          </rPr>
          <t>Markus Esbjørn Sloth:</t>
        </r>
        <r>
          <rPr>
            <sz val="9"/>
            <color indexed="81"/>
            <rFont val="Tahoma"/>
            <family val="2"/>
          </rPr>
          <t xml:space="preserve">
Den her kollonne definere om medarbejderen har ret til at barselsdagpenge i måneden 
</t>
        </r>
      </text>
    </comment>
    <comment ref="B178" authorId="1" shapeId="0" xr:uid="{B096E5DE-E38B-4283-B8F9-89C25459E224}">
      <text>
        <r>
          <rPr>
            <sz val="9"/>
            <color indexed="81"/>
            <rFont val="Tahoma"/>
            <family val="2"/>
          </rPr>
          <t xml:space="preserve">Ændringer i din månedsløn. Ændringer fremgår i månedslønnen
</t>
        </r>
      </text>
    </comment>
    <comment ref="E178" authorId="1" shapeId="0" xr:uid="{0E265A38-70F6-403F-B1F9-A4820D6FECD7}">
      <text>
        <r>
          <rPr>
            <sz val="9"/>
            <color indexed="81"/>
            <rFont val="Tahoma"/>
            <family val="2"/>
          </rPr>
          <t xml:space="preserve">Den del af lønnen, som man kan få refunderet, tager højde for en lang række faktorer såsom GG, NSG, om det er en skæv måned, samt om den barslende arbejder over 37 timer.
</t>
        </r>
      </text>
    </comment>
    <comment ref="G178" authorId="1" shapeId="0" xr:uid="{E0D96A2D-74CC-4B13-AA9F-E3058DCC215F}">
      <text>
        <r>
          <rPr>
            <b/>
            <sz val="9"/>
            <color indexed="81"/>
            <rFont val="Tahoma"/>
            <family val="2"/>
          </rPr>
          <t xml:space="preserve">Den faktiske månedsløn. Hvis du arbejder over 37 timer, bliver der taget højde for dette. 
Kode: Medmindre der er angivet ændringer, tager koden udgangspunkt i månedslønnen.
 </t>
        </r>
      </text>
    </comment>
    <comment ref="E179" authorId="1" shapeId="0" xr:uid="{D7802FF1-4D61-45EA-A232-F5BD5DB7804B}">
      <text>
        <r>
          <rPr>
            <sz val="9"/>
            <color indexed="81"/>
            <rFont val="Tahoma"/>
            <family val="2"/>
          </rPr>
          <t xml:space="preserve">Teknisk 
refunderbar løn fra basel+ NSG + GG
</t>
        </r>
      </text>
    </comment>
    <comment ref="A258" authorId="1" shapeId="0" xr:uid="{C2279BF0-261C-4316-9E6D-E8DC8A32699A}">
      <text>
        <r>
          <rPr>
            <b/>
            <sz val="9"/>
            <color indexed="81"/>
            <rFont val="Tahoma"/>
            <family val="2"/>
          </rPr>
          <t xml:space="preserve">Bruges til sagsbehandling i økonomisystemet. Kan være anderledes end den oplyste barselsperiode.
</t>
        </r>
        <r>
          <rPr>
            <sz val="9"/>
            <color indexed="81"/>
            <rFont val="Tahoma"/>
            <family val="2"/>
          </rPr>
          <t xml:space="preserve">
</t>
        </r>
      </text>
    </comment>
    <comment ref="F258" authorId="1" shapeId="0" xr:uid="{A065F586-477A-4A4D-A4EF-39A5C7F3C871}">
      <text>
        <r>
          <rPr>
            <b/>
            <sz val="9"/>
            <color indexed="81"/>
            <rFont val="Tahoma"/>
            <charset val="1"/>
          </rPr>
          <t>Markus Esbjørn Sloth:</t>
        </r>
        <r>
          <rPr>
            <sz val="9"/>
            <color indexed="81"/>
            <rFont val="Tahoma"/>
            <charset val="1"/>
          </rPr>
          <t xml:space="preserve">
</t>
        </r>
      </text>
    </comment>
    <comment ref="B269" authorId="1" shapeId="0" xr:uid="{8670C718-5BD2-4F33-B63C-ABF3E26FFEAB}">
      <text>
        <r>
          <rPr>
            <b/>
            <sz val="9"/>
            <color indexed="81"/>
            <rFont val="Tahoma"/>
            <family val="2"/>
          </rPr>
          <t xml:space="preserve">Terminsdato fastsat ved ultralyd 
</t>
        </r>
      </text>
    </comment>
    <comment ref="B271" authorId="1" shapeId="0" xr:uid="{729BAB19-03C9-4EAF-B2BB-F73279CD9B78}">
      <text>
        <r>
          <rPr>
            <b/>
            <sz val="9"/>
            <color indexed="81"/>
            <rFont val="Tahoma"/>
            <family val="2"/>
          </rPr>
          <t xml:space="preserve">Moderen med fuld løn
</t>
        </r>
      </text>
    </comment>
    <comment ref="B272" authorId="1" shapeId="0" xr:uid="{A62FCB70-207A-4DF4-9AE5-EF870E311FD5}">
      <text>
        <r>
          <rPr>
            <sz val="9"/>
            <color indexed="81"/>
            <rFont val="Tahoma"/>
            <family val="2"/>
          </rPr>
          <t>Moderen med fuld løn hvis hun kun tager egne 6 uger</t>
        </r>
      </text>
    </comment>
    <comment ref="B273" authorId="1" shapeId="0" xr:uid="{41866F4E-A37E-4D49-BD54-9764A541BB7D}">
      <text>
        <r>
          <rPr>
            <sz val="9"/>
            <color indexed="81"/>
            <rFont val="Tahoma"/>
            <family val="2"/>
          </rPr>
          <t xml:space="preserve">Moderen med fuld løn hvis hun tager egne + de 6 fælles uger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<sst xmlns="http://schemas.openxmlformats.org/spreadsheetml/2006/main" count="236" uniqueCount="209">
  <si>
    <t>Version 1.4</t>
  </si>
  <si>
    <t xml:space="preserve">Udfyld alle grå felter i kronologisk rækkefølge </t>
  </si>
  <si>
    <t>Dagpengetimesats</t>
  </si>
  <si>
    <t>Brug en nulstillet skabelon for at undgå at oplysninger fra en anden barslende kommer med</t>
  </si>
  <si>
    <t>Dagpenge pr.måned</t>
  </si>
  <si>
    <t>Ansøgning om tilskud fra Barselsfonden</t>
  </si>
  <si>
    <t xml:space="preserve">Tekst </t>
  </si>
  <si>
    <t>neutral information (#CBE9FC)'</t>
  </si>
  <si>
    <t>Kritisk information</t>
  </si>
  <si>
    <t>Fejl rød (#BB0202)</t>
  </si>
  <si>
    <t>År</t>
  </si>
  <si>
    <t>Dagpengesats</t>
  </si>
  <si>
    <t>Bruges som baggrundsfarve (#F6F6F8)</t>
  </si>
  <si>
    <t>indtastnings felter (#ABABAB)</t>
  </si>
  <si>
    <t>Til egen brug</t>
  </si>
  <si>
    <t>Indberetters oplysninger:</t>
  </si>
  <si>
    <t>Navn</t>
  </si>
  <si>
    <t>Telefon</t>
  </si>
  <si>
    <t xml:space="preserve">Valide datoer </t>
  </si>
  <si>
    <t>Email</t>
  </si>
  <si>
    <t xml:space="preserve">Mulige fejl:  1.Arket virker kun for indberetninger for ét år ad gangen 2.Datoer skal skrives i formattet xx-xx-xxxx. Kontakt eventuelt Koncernservice for hjælp.
</t>
  </si>
  <si>
    <t xml:space="preserve">Første dag </t>
  </si>
  <si>
    <t xml:space="preserve">Sidste dag </t>
  </si>
  <si>
    <t>Institutions oplysninger:</t>
  </si>
  <si>
    <t>Inst. Navn</t>
  </si>
  <si>
    <t>Inst. CVR.nr.</t>
  </si>
  <si>
    <t>Oplysninger om den barslende:</t>
  </si>
  <si>
    <t xml:space="preserve">Forælder (barslende): </t>
  </si>
  <si>
    <t>Mor</t>
  </si>
  <si>
    <t>Barslendes cpr.nr.</t>
  </si>
  <si>
    <t>Barslendes navn</t>
  </si>
  <si>
    <t>Barslendes stillingsbetegnelse</t>
  </si>
  <si>
    <r>
      <t xml:space="preserve">AKTIV IM konto 
</t>
    </r>
    <r>
      <rPr>
        <sz val="11"/>
        <color rgb="FF000C2E"/>
        <rFont val="KBH"/>
      </rPr>
      <t>*(her modtager I refusionen)</t>
    </r>
  </si>
  <si>
    <t xml:space="preserve">Fødselsdato (barnet) </t>
  </si>
  <si>
    <t>Faktisk</t>
  </si>
  <si>
    <t>Forventet (Termin)</t>
  </si>
  <si>
    <t xml:space="preserve">Fra: </t>
  </si>
  <si>
    <t xml:space="preserve">Til: </t>
  </si>
  <si>
    <t xml:space="preserve">Barselsperiode </t>
  </si>
  <si>
    <t>Fra</t>
  </si>
  <si>
    <t>Til</t>
  </si>
  <si>
    <t>Barselsperiode</t>
  </si>
  <si>
    <t xml:space="preserve">note til udvikler: placeholder </t>
  </si>
  <si>
    <t>Har barnet været indlagt efter fødsel?</t>
  </si>
  <si>
    <t>Ja/Nej</t>
  </si>
  <si>
    <t>Nej</t>
  </si>
  <si>
    <t xml:space="preserve">Oplys antal dages </t>
  </si>
  <si>
    <t xml:space="preserve">Oplysninger om den barslendes løn under barsel </t>
  </si>
  <si>
    <t>Timenorm (ugentlig arbejdstid):</t>
  </si>
  <si>
    <t>Lønbrøk:</t>
  </si>
  <si>
    <t>Er timenormen ændret i den indberettede periode?</t>
  </si>
  <si>
    <t xml:space="preserve">Nej </t>
  </si>
  <si>
    <t>Månedsløn med pension:</t>
  </si>
  <si>
    <t>Er lønnen ændret i den indberettede periode?</t>
  </si>
  <si>
    <t>Har den barslende været fuldtidsfraværende på grund af graviditetsgener?</t>
  </si>
  <si>
    <t>Table1[@Til]&gt;Table1[Fra]</t>
  </si>
  <si>
    <t>((Table1[@Fra]&lt;Table1[Til]))</t>
  </si>
  <si>
    <t xml:space="preserve">Fuldtidsfravær grundet graviditetsgener (kun for mor) </t>
  </si>
  <si>
    <t xml:space="preserve">Overlap </t>
  </si>
  <si>
    <t>test</t>
  </si>
  <si>
    <t xml:space="preserve">Beskrivelse </t>
  </si>
  <si>
    <t>sumproduct</t>
  </si>
  <si>
    <t>if&gt;1</t>
  </si>
  <si>
    <t xml:space="preserve">barselsperiode </t>
  </si>
  <si>
    <t xml:space="preserve">Periode 1 </t>
  </si>
  <si>
    <t>gg</t>
  </si>
  <si>
    <t>Periode 2</t>
  </si>
  <si>
    <t xml:space="preserve">Periode 3 </t>
  </si>
  <si>
    <t xml:space="preserve">Periode 4 </t>
  </si>
  <si>
    <t xml:space="preserve">Er det et overlap et sted </t>
  </si>
  <si>
    <t>Hvis den barslendes graviditetsgener fortsatte indtil barselsperioden, vil I modtage barselsdagpengerefusion for hele perioden. Hvis der er et slip imellem, vil I modtage refusion fra Barselsfonden for de første fire uger.  Den samlede refusion vil være den samme.</t>
  </si>
  <si>
    <t>Deltidsfravær grundet graviditetsgener (kun for mor)</t>
  </si>
  <si>
    <t>Har der været nedsatte graviditetsgener?</t>
  </si>
  <si>
    <t>Første dag med nedsatte graviditetsgener:</t>
  </si>
  <si>
    <t xml:space="preserve">alt lilla skjules </t>
  </si>
  <si>
    <t>Terminer (før forventet fødsel)</t>
  </si>
  <si>
    <t>4 uger:</t>
  </si>
  <si>
    <t>8 uger:</t>
  </si>
  <si>
    <t>Måned (skjules)</t>
  </si>
  <si>
    <t xml:space="preserve">Måned Nr </t>
  </si>
  <si>
    <t>samlet</t>
  </si>
  <si>
    <t xml:space="preserve">Skjules - Mellemregning antal dage i "skæve barselsmåneder" </t>
  </si>
  <si>
    <t>Beregning på hvornår rettigheden til barselsdagpenge starter</t>
  </si>
  <si>
    <t>Bruges også til at definere om det skæve eller fulde perioder med barselsdagpenge</t>
  </si>
  <si>
    <t>Start (måned)</t>
  </si>
  <si>
    <t>Slut</t>
  </si>
  <si>
    <t xml:space="preserve">Start / Slut periode Måned </t>
  </si>
  <si>
    <t>start</t>
  </si>
  <si>
    <t>slut</t>
  </si>
  <si>
    <t xml:space="preserve">Last day of month </t>
  </si>
  <si>
    <t xml:space="preserve">Beregtigelse til barselsdagpenge (Start / slut dag i barsels periode. Dette angiver hvornår medarbejderen bliver beregtigt til barselsdagpenge) </t>
  </si>
  <si>
    <t xml:space="preserve">Første dag i nuværende år </t>
  </si>
  <si>
    <t xml:space="preserve">Hvis berrigtigelse til barselsdagpenge &lt; den første dag der søges barselsdagpenge. Bruges første dag i den indberettet periode som beregtiget til barselsdagpenge. </t>
  </si>
  <si>
    <t>Første dag i måneden</t>
  </si>
  <si>
    <t>Ekstra mellemregning</t>
  </si>
  <si>
    <t>lægger start - slut lægger i samme måned?</t>
  </si>
  <si>
    <t xml:space="preserve">Er det en skæv periode i den måned så? </t>
  </si>
  <si>
    <t>Konklusion</t>
  </si>
  <si>
    <t xml:space="preserve">Er det en skæv måned </t>
  </si>
  <si>
    <t>Dage med dagpenge</t>
  </si>
  <si>
    <t xml:space="preserve">Test </t>
  </si>
  <si>
    <t xml:space="preserve">Hvornår skal der betales dagpenge fra </t>
  </si>
  <si>
    <t>Fra:</t>
  </si>
  <si>
    <t>Indtastest barselsperiode:</t>
  </si>
  <si>
    <t xml:space="preserve">Er MA beregtiget ti barseldagpenge i hele perioden </t>
  </si>
  <si>
    <t xml:space="preserve">Skjules - mellemregning antal dage </t>
  </si>
  <si>
    <t xml:space="preserve">Bruges til at definere hvilket måneder der skal vises, bruger minimum dato for NSG GG og barselsperioden og max i barselsperioden </t>
  </si>
  <si>
    <t xml:space="preserve">Første Måned der skal vises </t>
  </si>
  <si>
    <t xml:space="preserve"> </t>
  </si>
  <si>
    <t xml:space="preserve">* Dette bruges til at definere hvilket måneder der skal regnes i </t>
  </si>
  <si>
    <t xml:space="preserve">Sidste måned der skal vises i tabellen </t>
  </si>
  <si>
    <t xml:space="preserve">Skjules - Mellemregning </t>
  </si>
  <si>
    <t>df</t>
  </si>
  <si>
    <t xml:space="preserve">Faktisk fødsels </t>
  </si>
  <si>
    <t xml:space="preserve">4 uger før </t>
  </si>
  <si>
    <t xml:space="preserve">* her starter medarbejderen med at være berregtiget til barselsdagpenge , medmindre der er undtagelser som gør sig gældene </t>
  </si>
  <si>
    <t xml:space="preserve">8  uger før </t>
  </si>
  <si>
    <t xml:space="preserve">* </t>
  </si>
  <si>
    <t xml:space="preserve">Er faktisk fødsel &lt; 4 uger før så brug faktisk fødsels </t>
  </si>
  <si>
    <t>ellers bruges 4 uger før medmindre der har været gg uden slip</t>
  </si>
  <si>
    <t>Skæve lønperioder med alm barsel</t>
  </si>
  <si>
    <t xml:space="preserve">Start </t>
  </si>
  <si>
    <t xml:space="preserve">Start / slut dag i barsels periode </t>
  </si>
  <si>
    <t>Dage med løn</t>
  </si>
  <si>
    <t>Udfyld kun de relevante grå felter</t>
  </si>
  <si>
    <t>DØDE FELTER !!!</t>
  </si>
  <si>
    <t>Skema: Deltidsfravær grundet graviditetsgener (kun for mor)</t>
  </si>
  <si>
    <t>Bruges ikke</t>
  </si>
  <si>
    <t xml:space="preserve"> Fraværstimer pr mdr</t>
  </si>
  <si>
    <t>Barselsdagpenge for NSG</t>
  </si>
  <si>
    <t xml:space="preserve">Lønbrøk </t>
  </si>
  <si>
    <t>Dagpenge Refusion</t>
  </si>
  <si>
    <t>Dagpenge per dag beregning</t>
  </si>
  <si>
    <t>Løn</t>
  </si>
  <si>
    <t>Barsel</t>
  </si>
  <si>
    <t xml:space="preserve">Fejlbesked </t>
  </si>
  <si>
    <t xml:space="preserve">Dagpenge regnet per dag </t>
  </si>
  <si>
    <t>Lønbrøk (Til dagpengerefusion)</t>
  </si>
  <si>
    <t>GG</t>
  </si>
  <si>
    <t xml:space="preserve">Barsel skæve </t>
  </si>
  <si>
    <t>Barsel fulde måneder</t>
  </si>
  <si>
    <t xml:space="preserve">Totalt </t>
  </si>
  <si>
    <t xml:space="preserve">Hverdage </t>
  </si>
  <si>
    <t>Timer (ansættelse)</t>
  </si>
  <si>
    <t>Total</t>
  </si>
  <si>
    <t>Måned (Jan=1,Dec=12)</t>
  </si>
  <si>
    <t>Løn i skæv periode med alm barsel</t>
  </si>
  <si>
    <t xml:space="preserve">Mellemregning - skæv lønperiode </t>
  </si>
  <si>
    <t>Mellemregning</t>
  </si>
  <si>
    <t>Antal svæve dage</t>
  </si>
  <si>
    <t xml:space="preserve">Fulde GG dage (tæller ikke nedsat GG med) </t>
  </si>
  <si>
    <t xml:space="preserve">NSG løn kompensation </t>
  </si>
  <si>
    <t>Særtilfælde (to skæve perioder = fuld)</t>
  </si>
  <si>
    <t>Løn der skal kompensere for GG</t>
  </si>
  <si>
    <t xml:space="preserve">Er medarbejder berigtigt til barselsdagpenge i denne periode </t>
  </si>
  <si>
    <t xml:space="preserve">Er det en skæv Barsels måned </t>
  </si>
  <si>
    <t>Start/Slut</t>
  </si>
  <si>
    <t>dagsnorm</t>
  </si>
  <si>
    <t xml:space="preserve">Timeløn Per måned </t>
  </si>
  <si>
    <t>Timeløn per år</t>
  </si>
  <si>
    <t>Start (mdr)</t>
  </si>
  <si>
    <t>Slut (mdr)</t>
  </si>
  <si>
    <t>Hverdage i den pågældene måned</t>
  </si>
  <si>
    <t>refundarbar månedløn &gt; månedløn</t>
  </si>
  <si>
    <t xml:space="preserve">Dage med dagpenge </t>
  </si>
  <si>
    <t>Total + NSG og GG</t>
  </si>
  <si>
    <t>I nedenstående skema kan du oplyse ændringer i timenormen eller lønnen i de grå felter, hvis du tidligere svarede ja til, at der har været ændringer. Bemærk, at ved ændret timenorm skal du både oplyse timenormen og den nye løn.</t>
  </si>
  <si>
    <t>Sammenlignet med total i barselsdagpenge ved nuværedende beregningsmodel</t>
  </si>
  <si>
    <t>Diff</t>
  </si>
  <si>
    <t>Skema: Løn og Timenorm</t>
  </si>
  <si>
    <t xml:space="preserve">Evt. ændringer </t>
  </si>
  <si>
    <t>Måned</t>
  </si>
  <si>
    <t>Timenorm</t>
  </si>
  <si>
    <t xml:space="preserve">Refunderbar løn </t>
  </si>
  <si>
    <t>Månedsløn</t>
  </si>
  <si>
    <t xml:space="preserve">I alt: </t>
  </si>
  <si>
    <t>Du er nu færdig og kan se resultatet!</t>
  </si>
  <si>
    <t>Resultat</t>
  </si>
  <si>
    <t>Refunderbare lønudgifter</t>
  </si>
  <si>
    <t>Dagpengerefusion</t>
  </si>
  <si>
    <t>Tilskud fra Barselsfonden</t>
  </si>
  <si>
    <t>Bemærkninger</t>
  </si>
  <si>
    <t>Skriv eventuelle bemærkninger her, for eksempel om du er bekendt med, om medarbejderen har flere ansættelser eller lignende.</t>
  </si>
  <si>
    <t>Indsend arket til: Barselsfond@kk.dk</t>
  </si>
  <si>
    <t>Barselsfonden kan anmode om at få tilsendt lønsedler som dokumentation.</t>
  </si>
  <si>
    <t xml:space="preserve">Til sagsbehandling i Koncernservice </t>
  </si>
  <si>
    <t>Faktisk / Forventet</t>
  </si>
  <si>
    <t>Berrigtigelse til barselsdagpenge</t>
  </si>
  <si>
    <t xml:space="preserve">Barselsdagpenge periode i uger </t>
  </si>
  <si>
    <t xml:space="preserve">Forlænget barselsperiode grundet hospital indlæggelse: </t>
  </si>
  <si>
    <t>Antal dage</t>
  </si>
  <si>
    <t>Er fødslen før eller efter d.</t>
  </si>
  <si>
    <t xml:space="preserve">Før Termin </t>
  </si>
  <si>
    <t>13 uger</t>
  </si>
  <si>
    <t>8 uger</t>
  </si>
  <si>
    <t>4 uger</t>
  </si>
  <si>
    <t>"D.D."</t>
  </si>
  <si>
    <t>Efter Termin</t>
  </si>
  <si>
    <t>14 uger</t>
  </si>
  <si>
    <t>20 uger</t>
  </si>
  <si>
    <t>26 uger</t>
  </si>
  <si>
    <t>40 uger (14+6+20)</t>
  </si>
  <si>
    <t>46 uger (14+6+6+20)</t>
  </si>
  <si>
    <t>54 uger</t>
  </si>
  <si>
    <t>60 uger</t>
  </si>
  <si>
    <r>
      <rPr>
        <b/>
        <sz val="11"/>
        <color theme="1"/>
        <rFont val="Calibri"/>
        <family val="2"/>
        <scheme val="minor"/>
      </rPr>
      <t>Dagpengesatser</t>
    </r>
    <r>
      <rPr>
        <sz val="11"/>
        <color theme="1"/>
        <rFont val="Calibri"/>
        <family val="2"/>
        <scheme val="minor"/>
      </rPr>
      <t xml:space="preserve"> (Inklusivt pensionsbidrag på 1,5%)</t>
    </r>
  </si>
  <si>
    <t>Dag</t>
  </si>
  <si>
    <r>
      <rPr>
        <b/>
        <sz val="11"/>
        <color theme="1"/>
        <rFont val="KBH"/>
      </rPr>
      <t>Om anmodningsskemaet</t>
    </r>
    <r>
      <rPr>
        <sz val="11"/>
        <color theme="1"/>
        <rFont val="KBH"/>
      </rPr>
      <t xml:space="preserve">
Anmodningsskemaet bruges af selvejende institutioner til at ansøge om tilskud fra København Kommunes Barselsfond i forbindelse med medarbejderes barsel og fravær grundet graviditetsgener. Den enkelte enhed skal udfylde oplysninger om medarbejderens løn, arbejdstid og barselsrelaterede fravær. Skemaet beregner på den baggrund enhedens tilskud fra Barselsfonden.
Fra den 1. januar 2024 overgik Københavns Kommunes Barselsfond til en ny model for tilskud. Med den nye model vil enhederne få tilskud baseret på lønudgifter for den medarbejder, som er på barsel. Det betyder, at enhederne ikke længere behøver at ansætte en barselsvikar for at få tilskud. I forbindelse med overgangen til den nye model er det tidligere anmodningsskema blevet erstattet af dette skema.
</t>
    </r>
    <r>
      <rPr>
        <b/>
        <sz val="11"/>
        <color theme="1"/>
        <rFont val="KBH"/>
      </rPr>
      <t xml:space="preserve">Hvad beregner skemaet?
</t>
    </r>
    <r>
      <rPr>
        <u/>
        <sz val="11"/>
        <color theme="1"/>
        <rFont val="KBH"/>
      </rPr>
      <t>Refunderbare lønudgifter til den barslende</t>
    </r>
    <r>
      <rPr>
        <sz val="11"/>
        <color theme="1"/>
        <rFont val="KBH"/>
      </rPr>
      <t xml:space="preserve">
Skemaet beregner den samlede refunderbare lønudgift for medarbejderen i den lønnede periode med fravær.
</t>
    </r>
    <r>
      <rPr>
        <u/>
        <sz val="11"/>
        <color theme="1"/>
        <rFont val="KBH"/>
      </rPr>
      <t>Dagpengerefusion</t>
    </r>
    <r>
      <rPr>
        <sz val="11"/>
        <color theme="1"/>
        <rFont val="KBH"/>
      </rPr>
      <t xml:space="preserve">
Skemaet beregner forventet dagpengerefusion fra Udbetaling Danmark, som dækker barselsrelateret fravær, herunder fuldtids- eller deltidsfravær grundet graviditetsgener.
Enheden kan højst modtage refusion for 37 timer om ugen. Hvis medarbejderen er ansat flere steder, vil refusionen blive fordelt i forhold til beskæftigelsesgraden på de forskellige arbejdspladser.
</t>
    </r>
    <r>
      <rPr>
        <u/>
        <sz val="11"/>
        <color theme="1"/>
        <rFont val="KBH"/>
      </rPr>
      <t xml:space="preserve">Tilskud fra Barselsfonden
</t>
    </r>
    <r>
      <rPr>
        <sz val="11"/>
        <color theme="1"/>
        <rFont val="KBH"/>
      </rPr>
      <t xml:space="preserve">Skemaet beregner tilskud fra Barselsfonden. Denne beregning danner grundlag for, at Koncernservice udbetaler tilskud til enheden. Enheden modtager tilskud fra Barselsfonden, som dækker differencen mellem den forventede dagpengerefusion og lønudgiften for den barslende. 
</t>
    </r>
    <r>
      <rPr>
        <b/>
        <sz val="11"/>
        <color theme="1"/>
        <rFont val="KBH"/>
      </rPr>
      <t>Hvilke oplysninger skal skemaet bruge?</t>
    </r>
    <r>
      <rPr>
        <sz val="11"/>
        <color theme="1"/>
        <rFont val="KBH"/>
      </rPr>
      <t xml:space="preserve">
</t>
    </r>
    <r>
      <rPr>
        <u/>
        <sz val="11"/>
        <color theme="1"/>
        <rFont val="KBH"/>
      </rPr>
      <t>Den barslendes løn og arbejdstid</t>
    </r>
    <r>
      <rPr>
        <sz val="11"/>
        <color theme="1"/>
        <rFont val="KBH"/>
      </rPr>
      <t xml:space="preserve">
Det er vigtigt at oplyse i skemaet, hvis der er ændringer i medarbejderens løn eller arbejdstid i perioden med barsels- eller graviditetrelateret fravær. Ændringerne har indflydelse på beregning af tilskud fra Barselsfonden.
</t>
    </r>
    <r>
      <rPr>
        <u/>
        <sz val="11"/>
        <color theme="1"/>
        <rFont val="KBH"/>
      </rPr>
      <t xml:space="preserve">Fuldtids- eller deltidsfravær grundet graviditetsgener
</t>
    </r>
    <r>
      <rPr>
        <sz val="11"/>
        <color theme="1"/>
        <rFont val="KBH"/>
      </rPr>
      <t xml:space="preserve">Hvis moren har fuldtids- eller deltidsfravær grundet graviditetsgener, modtager enheden tilskud for fraværet på samme måde som for andet barselsrelateret fravær. Den barslende kan have en kombination af fultids- og deltidsfravær grundet graviditetsgener. Dette oplyses separat i skemaet. 
</t>
    </r>
    <r>
      <rPr>
        <b/>
        <sz val="11"/>
        <color theme="1"/>
        <rFont val="KBH"/>
      </rPr>
      <t>Kontakt Koncernservice på 70 80 80 00, hvis:</t>
    </r>
    <r>
      <rPr>
        <sz val="11"/>
        <color theme="1"/>
        <rFont val="KBH"/>
      </rPr>
      <t xml:space="preserve">
    •  Medarbejder holder sorg- eller adoptionsorlov, 
    •  Medarbejder har en arbejdstid på under 10 timer om ugen. I dette tilfælde opfylder medarbejderen ikke Udbetaling Danmarks beskæftigelseskrav om ret til dagpenge og enheden er ikke berettiget til barselsdagpengerefusion eller tilskud fra Barselsfonden.
</t>
    </r>
  </si>
  <si>
    <t xml:space="preserve">Barselsdagpenge Periode - skal det tælle NSG og GG med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</si>
</sst>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 #,##0.00_ ;_ * \-#,##0.00_ ;_ * &quot;-&quot;??_ ;_ @_ "/>
    <numFmt numFmtId="165" formatCode="_ &quot;kr&quot;\ * #,##0.00_ ;_ &quot;kr&quot;\ * \-#,##0.00_ ;_ &quot;kr&quot;\ * &quot;-&quot;??_ ;_ @_ "/>
    <numFmt numFmtId="166" formatCode="_(* #,##0.00_);_(* \(#,##0.00\);_(* &quot;-&quot;??_);_(@_)"/>
    <numFmt numFmtId="167" formatCode="_ &quot;kr&quot;\ * #,##0_ ;_ &quot;kr&quot;\ * \-#,##0_ ;_ &quot;kr&quot;\ * &quot;-&quot;??_ ;_ @_ "/>
    <numFmt numFmtId="168" formatCode="0.0"/>
    <numFmt numFmtId="169" formatCode="mmmm"/>
    <numFmt numFmtId="170" formatCode="#,##0\ &quot;kr.&quot;"/>
    <numFmt numFmtId="171" formatCode="_-* #,##0\ &quot;kr.&quot;_-;\-* #,##0\ &quot;kr.&quot;_-;_-* &quot;-&quot;??\ &quot;kr.&quot;_-;_-@_-"/>
    <numFmt numFmtId="172" formatCode="#,##0.0\ &quot;kr.&quot;"/>
    <numFmt numFmtId="173" formatCode="0.0000"/>
    <numFmt numFmtId="174" formatCode="0.00000"/>
  </numFmts>
  <fonts count="57" x14ac:knownFonts="1">
    <font>
      <sz val="11"/>
      <color theme="1"/>
      <name val="Calibri"/>
      <family val="2"/>
      <scheme val="minor"/>
    </font>
    <font>
      <sz val="11"/>
      <color theme="1"/>
      <name val="Calibri"/>
      <family val="2"/>
      <scheme val="minor"/>
    </font>
    <font>
      <sz val="10"/>
      <name val="Arial"/>
      <family val="2"/>
    </font>
    <font>
      <sz val="10"/>
      <name val="Arial"/>
      <family val="2"/>
    </font>
    <font>
      <b/>
      <sz val="8"/>
      <color indexed="81"/>
      <name val="Tahoma"/>
      <family val="2"/>
    </font>
    <font>
      <u/>
      <sz val="11"/>
      <color theme="10"/>
      <name val="Calibri"/>
      <family val="2"/>
      <scheme val="minor"/>
    </font>
    <font>
      <b/>
      <sz val="9"/>
      <color indexed="81"/>
      <name val="Tahoma"/>
      <family val="2"/>
    </font>
    <font>
      <sz val="9"/>
      <color indexed="81"/>
      <name val="Tahoma"/>
      <family val="2"/>
    </font>
    <font>
      <sz val="11"/>
      <color theme="1"/>
      <name val="KBH"/>
    </font>
    <font>
      <sz val="11"/>
      <color rgb="FFFF0000"/>
      <name val="KBH"/>
    </font>
    <font>
      <b/>
      <sz val="11"/>
      <color rgb="FFFF0000"/>
      <name val="KBH"/>
    </font>
    <font>
      <sz val="12"/>
      <color theme="1"/>
      <name val="KBH"/>
    </font>
    <font>
      <sz val="11"/>
      <color rgb="FF000C2E"/>
      <name val="KBH"/>
    </font>
    <font>
      <sz val="14"/>
      <color rgb="FF000C2E"/>
      <name val="KBH"/>
    </font>
    <font>
      <b/>
      <sz val="14"/>
      <color rgb="FF000C2E"/>
      <name val="KBH"/>
    </font>
    <font>
      <i/>
      <sz val="11"/>
      <color rgb="FF000C2E"/>
      <name val="KBH"/>
    </font>
    <font>
      <sz val="10"/>
      <color rgb="FF000C2E"/>
      <name val="KBH"/>
    </font>
    <font>
      <b/>
      <sz val="11"/>
      <color rgb="FF000C2E"/>
      <name val="KBH"/>
    </font>
    <font>
      <u/>
      <sz val="11"/>
      <color rgb="FF000C2E"/>
      <name val="KBH"/>
    </font>
    <font>
      <b/>
      <sz val="10"/>
      <color rgb="FF000C2E"/>
      <name val="KBH"/>
    </font>
    <font>
      <b/>
      <sz val="12"/>
      <color rgb="FF000C2E"/>
      <name val="KBH"/>
    </font>
    <font>
      <b/>
      <sz val="16"/>
      <color rgb="FF000C2E"/>
      <name val="KBH"/>
    </font>
    <font>
      <sz val="12"/>
      <color rgb="FF000C2E"/>
      <name val="KBH"/>
    </font>
    <font>
      <b/>
      <i/>
      <sz val="11"/>
      <color rgb="FF000C2E"/>
      <name val="KBH"/>
    </font>
    <font>
      <i/>
      <sz val="12"/>
      <color rgb="FF000C2E"/>
      <name val="KBH"/>
    </font>
    <font>
      <b/>
      <i/>
      <sz val="12"/>
      <color rgb="FF000C2E"/>
      <name val="KBH"/>
    </font>
    <font>
      <b/>
      <u/>
      <sz val="11"/>
      <color rgb="FF000C2E"/>
      <name val="KBH"/>
    </font>
    <font>
      <b/>
      <sz val="16"/>
      <color rgb="FF000C2E"/>
      <name val="KBH Black"/>
    </font>
    <font>
      <b/>
      <u/>
      <sz val="16"/>
      <color rgb="FF000C2E"/>
      <name val="KBH"/>
    </font>
    <font>
      <b/>
      <sz val="9"/>
      <color rgb="FF000C2E"/>
      <name val="KBH"/>
    </font>
    <font>
      <sz val="9"/>
      <color rgb="FF000C2E"/>
      <name val="KBH"/>
    </font>
    <font>
      <sz val="9"/>
      <color theme="1"/>
      <name val="KBH"/>
    </font>
    <font>
      <b/>
      <sz val="11"/>
      <color rgb="FF000C2E"/>
      <name val="KBH Black"/>
    </font>
    <font>
      <b/>
      <sz val="11"/>
      <color theme="1"/>
      <name val="KBH"/>
    </font>
    <font>
      <sz val="16"/>
      <color theme="6" tint="-0.499984740745262"/>
      <name val="KBH Black"/>
    </font>
    <font>
      <b/>
      <sz val="14"/>
      <color rgb="FFFF0000"/>
      <name val="KBH"/>
    </font>
    <font>
      <b/>
      <sz val="18"/>
      <color rgb="FF000C2E"/>
      <name val="KBH"/>
    </font>
    <font>
      <u/>
      <sz val="11"/>
      <color theme="1"/>
      <name val="KBH"/>
    </font>
    <font>
      <b/>
      <sz val="11"/>
      <color theme="1"/>
      <name val="Calibri"/>
      <family val="2"/>
      <scheme val="minor"/>
    </font>
    <font>
      <b/>
      <sz val="9"/>
      <color theme="1"/>
      <name val="KBH"/>
    </font>
    <font>
      <b/>
      <sz val="11"/>
      <name val="KBH"/>
    </font>
    <font>
      <b/>
      <u/>
      <sz val="14"/>
      <color theme="1"/>
      <name val="KBH"/>
    </font>
    <font>
      <i/>
      <sz val="9"/>
      <color theme="1"/>
      <name val="KBH"/>
    </font>
    <font>
      <b/>
      <u/>
      <sz val="9"/>
      <color rgb="FF000C2E"/>
      <name val="KBH"/>
    </font>
    <font>
      <sz val="11"/>
      <name val="KBH"/>
    </font>
    <font>
      <b/>
      <i/>
      <sz val="14"/>
      <color rgb="FFFF0000"/>
      <name val="KBH"/>
    </font>
    <font>
      <sz val="10"/>
      <color rgb="FFF6F6F8"/>
      <name val="KBH"/>
    </font>
    <font>
      <b/>
      <sz val="11"/>
      <color theme="6" tint="-0.499984740745262"/>
      <name val="KBH"/>
    </font>
    <font>
      <sz val="9"/>
      <color indexed="81"/>
      <name val="Tahoma"/>
      <charset val="1"/>
    </font>
    <font>
      <b/>
      <sz val="9"/>
      <color indexed="81"/>
      <name val="Tahoma"/>
      <charset val="1"/>
    </font>
    <font>
      <b/>
      <sz val="10"/>
      <name val="Arial"/>
      <family val="2"/>
    </font>
    <font>
      <b/>
      <sz val="9"/>
      <name val="Arial"/>
      <family val="2"/>
    </font>
    <font>
      <sz val="9"/>
      <name val="Arial"/>
      <family val="2"/>
    </font>
    <font>
      <b/>
      <u/>
      <sz val="10"/>
      <name val="Arial"/>
      <family val="2"/>
    </font>
    <font>
      <sz val="10"/>
      <color theme="1"/>
      <name val="KBH"/>
    </font>
    <font>
      <b/>
      <sz val="11"/>
      <color rgb="FFF6F6F8"/>
      <name val="KBH"/>
    </font>
    <font>
      <sz val="8"/>
      <color theme="1"/>
      <name val="Calibri"/>
      <family val="2"/>
      <scheme val="minor"/>
    </font>
  </fonts>
  <fills count="2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C9BFE1"/>
        <bgColor indexed="64"/>
      </patternFill>
    </fill>
    <fill>
      <patternFill patternType="solid">
        <fgColor rgb="FF000C2E"/>
        <bgColor indexed="64"/>
      </patternFill>
    </fill>
    <fill>
      <patternFill patternType="solid">
        <fgColor rgb="FFCBE9FC"/>
        <bgColor indexed="64"/>
      </patternFill>
    </fill>
    <fill>
      <patternFill patternType="solid">
        <fgColor rgb="FFF6F6F8"/>
        <bgColor indexed="64"/>
      </patternFill>
    </fill>
    <fill>
      <patternFill patternType="solid">
        <fgColor rgb="FFABABAB"/>
        <bgColor indexed="64"/>
      </patternFill>
    </fill>
    <fill>
      <patternFill patternType="solid">
        <fgColor rgb="FF7030A0"/>
        <bgColor indexed="64"/>
      </patternFill>
    </fill>
    <fill>
      <patternFill patternType="solid">
        <fgColor rgb="FF7C4AFF"/>
        <bgColor indexed="64"/>
      </patternFill>
    </fill>
    <fill>
      <patternFill patternType="solid">
        <fgColor rgb="FF92D05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ABABAB"/>
        <bgColor rgb="FF000000"/>
      </patternFill>
    </fill>
    <fill>
      <patternFill patternType="solid">
        <fgColor rgb="FF606060"/>
        <bgColor indexed="64"/>
      </patternFill>
    </fill>
    <fill>
      <patternFill patternType="solid">
        <fgColor rgb="FF898989"/>
        <bgColor indexed="64"/>
      </patternFill>
    </fill>
    <fill>
      <patternFill patternType="solid">
        <fgColor rgb="FFF6F6F8"/>
        <bgColor rgb="FF000000"/>
      </patternFill>
    </fill>
    <fill>
      <patternFill patternType="solid">
        <fgColor theme="8" tint="0.59999389629810485"/>
        <bgColor indexed="64"/>
      </patternFill>
    </fill>
    <fill>
      <patternFill patternType="solid">
        <fgColor rgb="FFFFFF00"/>
        <bgColor indexed="64"/>
      </patternFill>
    </fill>
    <fill>
      <patternFill patternType="solid">
        <fgColor rgb="FFFFE9E9"/>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diagonal/>
    </border>
    <border>
      <left style="thin">
        <color indexed="64"/>
      </left>
      <right/>
      <top/>
      <bottom/>
      <diagonal/>
    </border>
    <border>
      <left/>
      <right style="thin">
        <color indexed="64"/>
      </right>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ck">
        <color rgb="FF7030A0"/>
      </left>
      <right/>
      <top style="thick">
        <color rgb="FF7030A0"/>
      </top>
      <bottom/>
      <diagonal/>
    </border>
    <border>
      <left/>
      <right/>
      <top style="thick">
        <color rgb="FF7030A0"/>
      </top>
      <bottom/>
      <diagonal/>
    </border>
    <border>
      <left/>
      <right style="thick">
        <color rgb="FF7030A0"/>
      </right>
      <top style="thick">
        <color rgb="FF7030A0"/>
      </top>
      <bottom/>
      <diagonal/>
    </border>
    <border>
      <left style="thick">
        <color rgb="FF7030A0"/>
      </left>
      <right/>
      <top/>
      <bottom/>
      <diagonal/>
    </border>
    <border>
      <left/>
      <right style="thick">
        <color rgb="FF7030A0"/>
      </right>
      <top/>
      <bottom/>
      <diagonal/>
    </border>
    <border>
      <left style="thick">
        <color rgb="FF7030A0"/>
      </left>
      <right/>
      <top/>
      <bottom style="thick">
        <color rgb="FF7030A0"/>
      </bottom>
      <diagonal/>
    </border>
    <border>
      <left/>
      <right/>
      <top/>
      <bottom style="thick">
        <color rgb="FF7030A0"/>
      </bottom>
      <diagonal/>
    </border>
    <border>
      <left/>
      <right style="thick">
        <color rgb="FF7030A0"/>
      </right>
      <top/>
      <bottom style="thick">
        <color rgb="FF7030A0"/>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theme="3"/>
      </right>
      <top/>
      <bottom/>
      <diagonal/>
    </border>
    <border>
      <left style="thin">
        <color theme="3"/>
      </left>
      <right/>
      <top/>
      <bottom/>
      <diagonal/>
    </border>
    <border>
      <left style="medium">
        <color indexed="64"/>
      </left>
      <right style="thin">
        <color indexed="64"/>
      </right>
      <top/>
      <bottom/>
      <diagonal/>
    </border>
  </borders>
  <cellStyleXfs count="23">
    <xf numFmtId="0" fontId="0" fillId="0" borderId="0"/>
    <xf numFmtId="164" fontId="1" fillId="0" borderId="0" applyFont="0" applyFill="0" applyBorder="0" applyAlignment="0" applyProtection="0"/>
    <xf numFmtId="0" fontId="2" fillId="0" borderId="0"/>
    <xf numFmtId="166" fontId="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 fillId="0" borderId="0" applyFont="0" applyFill="0" applyBorder="0" applyAlignment="0" applyProtection="0"/>
    <xf numFmtId="0" fontId="5" fillId="0" borderId="0" applyNumberFormat="0" applyFill="0" applyBorder="0" applyAlignment="0" applyProtection="0"/>
    <xf numFmtId="165" fontId="1"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cellStyleXfs>
  <cellXfs count="434">
    <xf numFmtId="0" fontId="0" fillId="0" borderId="0" xfId="0"/>
    <xf numFmtId="167" fontId="12" fillId="7" borderId="0" xfId="13" applyNumberFormat="1" applyFont="1" applyFill="1" applyBorder="1" applyProtection="1"/>
    <xf numFmtId="164" fontId="12" fillId="0" borderId="0" xfId="1" applyFont="1" applyFill="1" applyBorder="1" applyAlignment="1" applyProtection="1"/>
    <xf numFmtId="164" fontId="12" fillId="3" borderId="0" xfId="1" applyFont="1" applyFill="1" applyBorder="1" applyAlignment="1" applyProtection="1"/>
    <xf numFmtId="2" fontId="12" fillId="0" borderId="0" xfId="13" applyNumberFormat="1" applyFont="1" applyProtection="1"/>
    <xf numFmtId="0" fontId="13" fillId="8" borderId="1" xfId="2" applyFont="1" applyFill="1" applyBorder="1" applyAlignment="1" applyProtection="1">
      <alignment horizontal="center"/>
      <protection locked="0"/>
    </xf>
    <xf numFmtId="0" fontId="12" fillId="8" borderId="1" xfId="0" applyFont="1" applyFill="1" applyBorder="1" applyAlignment="1" applyProtection="1">
      <alignment horizontal="center"/>
      <protection locked="0"/>
    </xf>
    <xf numFmtId="14" fontId="12" fillId="8" borderId="1" xfId="0" applyNumberFormat="1" applyFont="1" applyFill="1" applyBorder="1" applyProtection="1">
      <protection locked="0"/>
    </xf>
    <xf numFmtId="0" fontId="8" fillId="0" borderId="17" xfId="0" applyFont="1" applyBorder="1"/>
    <xf numFmtId="0" fontId="8" fillId="0" borderId="0" xfId="0" applyFont="1"/>
    <xf numFmtId="0" fontId="8" fillId="0" borderId="18" xfId="0" applyFont="1" applyBorder="1"/>
    <xf numFmtId="0" fontId="12" fillId="7" borderId="0" xfId="0" applyFont="1" applyFill="1"/>
    <xf numFmtId="0" fontId="12" fillId="0" borderId="0" xfId="0" applyFont="1"/>
    <xf numFmtId="0" fontId="8" fillId="7" borderId="0" xfId="0" applyFont="1" applyFill="1"/>
    <xf numFmtId="0" fontId="16" fillId="3" borderId="1" xfId="2" applyFont="1" applyFill="1" applyBorder="1" applyAlignment="1">
      <alignment horizontal="right"/>
    </xf>
    <xf numFmtId="168" fontId="16" fillId="3" borderId="1" xfId="2" applyNumberFormat="1" applyFont="1" applyFill="1" applyBorder="1"/>
    <xf numFmtId="0" fontId="16" fillId="3" borderId="1" xfId="0" applyFont="1" applyFill="1" applyBorder="1" applyAlignment="1">
      <alignment horizontal="right"/>
    </xf>
    <xf numFmtId="0" fontId="16" fillId="3" borderId="1" xfId="0" applyFont="1" applyFill="1" applyBorder="1"/>
    <xf numFmtId="0" fontId="9" fillId="7" borderId="17" xfId="0" applyFont="1" applyFill="1" applyBorder="1" applyAlignment="1">
      <alignment horizontal="center"/>
    </xf>
    <xf numFmtId="0" fontId="9" fillId="7" borderId="0" xfId="0" applyFont="1" applyFill="1" applyAlignment="1">
      <alignment horizontal="center"/>
    </xf>
    <xf numFmtId="0" fontId="16" fillId="3" borderId="0" xfId="0" applyFont="1" applyFill="1" applyAlignment="1">
      <alignment horizontal="right"/>
    </xf>
    <xf numFmtId="0" fontId="16" fillId="3" borderId="0" xfId="0" applyFont="1" applyFill="1"/>
    <xf numFmtId="0" fontId="12" fillId="5" borderId="0" xfId="0" applyFont="1" applyFill="1"/>
    <xf numFmtId="0" fontId="17" fillId="0" borderId="0" xfId="0" applyFont="1" applyAlignment="1">
      <alignment horizontal="left"/>
    </xf>
    <xf numFmtId="0" fontId="8" fillId="7" borderId="17" xfId="0" applyFont="1" applyFill="1" applyBorder="1"/>
    <xf numFmtId="0" fontId="12" fillId="7" borderId="18" xfId="0" applyFont="1" applyFill="1" applyBorder="1"/>
    <xf numFmtId="0" fontId="12" fillId="6" borderId="0" xfId="0" applyFont="1" applyFill="1"/>
    <xf numFmtId="0" fontId="15" fillId="7" borderId="17" xfId="0" applyFont="1" applyFill="1" applyBorder="1"/>
    <xf numFmtId="0" fontId="10" fillId="0" borderId="0" xfId="0" applyFont="1"/>
    <xf numFmtId="0" fontId="14" fillId="7" borderId="17" xfId="2" applyFont="1" applyFill="1" applyBorder="1"/>
    <xf numFmtId="0" fontId="14" fillId="7" borderId="0" xfId="2" applyFont="1" applyFill="1"/>
    <xf numFmtId="0" fontId="17" fillId="7" borderId="0" xfId="2" applyFont="1" applyFill="1" applyAlignment="1">
      <alignment horizontal="left"/>
    </xf>
    <xf numFmtId="0" fontId="16" fillId="0" borderId="0" xfId="2" applyFont="1"/>
    <xf numFmtId="0" fontId="8" fillId="8" borderId="0" xfId="0" applyFont="1" applyFill="1"/>
    <xf numFmtId="0" fontId="12" fillId="7" borderId="17" xfId="0" applyFont="1" applyFill="1" applyBorder="1"/>
    <xf numFmtId="0" fontId="16" fillId="7" borderId="0" xfId="2" applyFont="1" applyFill="1" applyAlignment="1">
      <alignment horizontal="center"/>
    </xf>
    <xf numFmtId="0" fontId="8" fillId="9" borderId="0" xfId="0" applyFont="1" applyFill="1"/>
    <xf numFmtId="0" fontId="16" fillId="7" borderId="8" xfId="2" applyFont="1" applyFill="1" applyBorder="1" applyAlignment="1">
      <alignment horizontal="center"/>
    </xf>
    <xf numFmtId="0" fontId="16" fillId="7" borderId="8" xfId="0" applyFont="1" applyFill="1" applyBorder="1" applyAlignment="1">
      <alignment horizontal="right"/>
    </xf>
    <xf numFmtId="0" fontId="16" fillId="7" borderId="9" xfId="0" applyFont="1" applyFill="1" applyBorder="1"/>
    <xf numFmtId="0" fontId="12" fillId="7" borderId="0" xfId="2" applyFont="1" applyFill="1"/>
    <xf numFmtId="0" fontId="19" fillId="0" borderId="0" xfId="2" applyFont="1"/>
    <xf numFmtId="0" fontId="16" fillId="0" borderId="0" xfId="2" applyFont="1" applyAlignment="1">
      <alignment horizontal="center" wrapText="1"/>
    </xf>
    <xf numFmtId="0" fontId="17" fillId="7" borderId="17" xfId="2" applyFont="1" applyFill="1" applyBorder="1" applyAlignment="1">
      <alignment horizontal="left"/>
    </xf>
    <xf numFmtId="0" fontId="12" fillId="7" borderId="0" xfId="2" applyFont="1" applyFill="1" applyAlignment="1">
      <alignment horizontal="left"/>
    </xf>
    <xf numFmtId="0" fontId="12" fillId="7" borderId="18" xfId="2" applyFont="1" applyFill="1" applyBorder="1" applyAlignment="1">
      <alignment horizontal="left"/>
    </xf>
    <xf numFmtId="0" fontId="17" fillId="7" borderId="18" xfId="2" applyFont="1" applyFill="1" applyBorder="1" applyAlignment="1">
      <alignment horizontal="left"/>
    </xf>
    <xf numFmtId="0" fontId="17" fillId="7" borderId="0" xfId="2" applyFont="1" applyFill="1"/>
    <xf numFmtId="0" fontId="26" fillId="7" borderId="6" xfId="2" applyFont="1" applyFill="1" applyBorder="1" applyAlignment="1">
      <alignment horizontal="left"/>
    </xf>
    <xf numFmtId="0" fontId="26" fillId="7" borderId="8" xfId="2" applyFont="1" applyFill="1" applyBorder="1" applyAlignment="1">
      <alignment horizontal="left"/>
    </xf>
    <xf numFmtId="0" fontId="17" fillId="7" borderId="8" xfId="2" applyFont="1" applyFill="1" applyBorder="1" applyAlignment="1">
      <alignment horizontal="left"/>
    </xf>
    <xf numFmtId="0" fontId="17" fillId="7" borderId="9" xfId="2" applyFont="1" applyFill="1" applyBorder="1" applyAlignment="1">
      <alignment horizontal="left"/>
    </xf>
    <xf numFmtId="14" fontId="16" fillId="0" borderId="0" xfId="2" applyNumberFormat="1" applyFont="1"/>
    <xf numFmtId="14" fontId="16" fillId="0" borderId="0" xfId="2" applyNumberFormat="1" applyFont="1" applyAlignment="1">
      <alignment horizontal="right"/>
    </xf>
    <xf numFmtId="0" fontId="17" fillId="7" borderId="5" xfId="2" applyFont="1" applyFill="1" applyBorder="1" applyAlignment="1">
      <alignment horizontal="left"/>
    </xf>
    <xf numFmtId="0" fontId="12" fillId="7" borderId="1" xfId="2" applyFont="1" applyFill="1" applyBorder="1"/>
    <xf numFmtId="0" fontId="21" fillId="4" borderId="17" xfId="0" applyFont="1" applyFill="1" applyBorder="1"/>
    <xf numFmtId="0" fontId="12" fillId="4" borderId="0" xfId="0" applyFont="1" applyFill="1"/>
    <xf numFmtId="0" fontId="12" fillId="4" borderId="0" xfId="0" applyFont="1" applyFill="1" applyAlignment="1">
      <alignment horizontal="center"/>
    </xf>
    <xf numFmtId="0" fontId="17" fillId="7" borderId="2" xfId="2" applyFont="1" applyFill="1" applyBorder="1" applyAlignment="1">
      <alignment horizontal="left"/>
    </xf>
    <xf numFmtId="0" fontId="17" fillId="7" borderId="4" xfId="2" applyFont="1" applyFill="1" applyBorder="1" applyAlignment="1">
      <alignment horizontal="left"/>
    </xf>
    <xf numFmtId="0" fontId="12" fillId="4" borderId="17" xfId="0" applyFont="1" applyFill="1" applyBorder="1"/>
    <xf numFmtId="14" fontId="12" fillId="4" borderId="0" xfId="0" applyNumberFormat="1" applyFont="1" applyFill="1" applyAlignment="1">
      <alignment horizontal="center"/>
    </xf>
    <xf numFmtId="0" fontId="8" fillId="4" borderId="0" xfId="0" applyFont="1" applyFill="1"/>
    <xf numFmtId="0" fontId="20" fillId="7" borderId="0" xfId="0" applyFont="1" applyFill="1" applyAlignment="1">
      <alignment vertical="center"/>
    </xf>
    <xf numFmtId="0" fontId="28" fillId="7" borderId="17" xfId="0" applyFont="1" applyFill="1" applyBorder="1"/>
    <xf numFmtId="2" fontId="16" fillId="0" borderId="0" xfId="2" applyNumberFormat="1" applyFont="1"/>
    <xf numFmtId="0" fontId="17" fillId="7" borderId="17" xfId="0" applyFont="1" applyFill="1" applyBorder="1"/>
    <xf numFmtId="14" fontId="12" fillId="7" borderId="0" xfId="0" applyNumberFormat="1" applyFont="1" applyFill="1"/>
    <xf numFmtId="14" fontId="19" fillId="0" borderId="0" xfId="2" applyNumberFormat="1" applyFont="1"/>
    <xf numFmtId="0" fontId="12" fillId="6" borderId="0" xfId="0" applyFont="1" applyFill="1" applyAlignment="1">
      <alignment horizontal="center"/>
    </xf>
    <xf numFmtId="0" fontId="22" fillId="0" borderId="0" xfId="2" applyFont="1"/>
    <xf numFmtId="164" fontId="22" fillId="0" borderId="0" xfId="2" applyNumberFormat="1" applyFont="1"/>
    <xf numFmtId="0" fontId="22" fillId="0" borderId="0" xfId="0" applyFont="1"/>
    <xf numFmtId="0" fontId="11" fillId="0" borderId="0" xfId="0" applyFont="1"/>
    <xf numFmtId="0" fontId="8" fillId="7" borderId="18" xfId="0" applyFont="1" applyFill="1" applyBorder="1"/>
    <xf numFmtId="0" fontId="11" fillId="7" borderId="0" xfId="0" applyFont="1" applyFill="1"/>
    <xf numFmtId="0" fontId="22" fillId="7" borderId="0" xfId="0" applyFont="1" applyFill="1"/>
    <xf numFmtId="0" fontId="11" fillId="7" borderId="18" xfId="0" applyFont="1" applyFill="1" applyBorder="1"/>
    <xf numFmtId="0" fontId="17" fillId="9" borderId="0" xfId="0" applyFont="1" applyFill="1"/>
    <xf numFmtId="0" fontId="12" fillId="7" borderId="17" xfId="0" applyFont="1" applyFill="1" applyBorder="1" applyAlignment="1">
      <alignment horizontal="center"/>
    </xf>
    <xf numFmtId="0" fontId="21" fillId="7" borderId="0" xfId="0" applyFont="1" applyFill="1"/>
    <xf numFmtId="0" fontId="21" fillId="7" borderId="17" xfId="0" applyFont="1" applyFill="1" applyBorder="1"/>
    <xf numFmtId="0" fontId="17" fillId="7" borderId="0" xfId="0" applyFont="1" applyFill="1"/>
    <xf numFmtId="14" fontId="12" fillId="0" borderId="0" xfId="0" applyNumberFormat="1" applyFont="1"/>
    <xf numFmtId="0" fontId="8" fillId="9" borderId="20" xfId="0" applyFont="1" applyFill="1" applyBorder="1"/>
    <xf numFmtId="0" fontId="12" fillId="7" borderId="17" xfId="0" applyFont="1" applyFill="1" applyBorder="1" applyAlignment="1">
      <alignment wrapText="1"/>
    </xf>
    <xf numFmtId="0" fontId="36" fillId="7" borderId="17" xfId="0" applyFont="1" applyFill="1" applyBorder="1"/>
    <xf numFmtId="0" fontId="12" fillId="4" borderId="18" xfId="0" applyFont="1" applyFill="1" applyBorder="1"/>
    <xf numFmtId="0" fontId="17" fillId="4" borderId="5" xfId="2" applyFont="1" applyFill="1" applyBorder="1" applyAlignment="1">
      <alignment horizontal="left"/>
    </xf>
    <xf numFmtId="0" fontId="12" fillId="4" borderId="2" xfId="0" applyFont="1" applyFill="1" applyBorder="1"/>
    <xf numFmtId="0" fontId="12" fillId="4" borderId="4" xfId="0" applyFont="1" applyFill="1" applyBorder="1"/>
    <xf numFmtId="0" fontId="12" fillId="4" borderId="1" xfId="0" applyFont="1" applyFill="1" applyBorder="1"/>
    <xf numFmtId="14" fontId="12" fillId="4" borderId="1" xfId="0" applyNumberFormat="1" applyFont="1" applyFill="1" applyBorder="1" applyAlignment="1">
      <alignment horizontal="center"/>
    </xf>
    <xf numFmtId="169" fontId="12" fillId="4" borderId="17" xfId="0" applyNumberFormat="1" applyFont="1" applyFill="1" applyBorder="1"/>
    <xf numFmtId="169" fontId="12" fillId="4" borderId="0" xfId="0" applyNumberFormat="1" applyFont="1" applyFill="1"/>
    <xf numFmtId="0" fontId="29" fillId="4" borderId="17" xfId="0" applyFont="1" applyFill="1" applyBorder="1"/>
    <xf numFmtId="0" fontId="30" fillId="4" borderId="0" xfId="0" applyFont="1" applyFill="1"/>
    <xf numFmtId="0" fontId="30" fillId="4" borderId="17" xfId="0" applyFont="1" applyFill="1" applyBorder="1"/>
    <xf numFmtId="0" fontId="31" fillId="4" borderId="0" xfId="0" applyFont="1" applyFill="1"/>
    <xf numFmtId="14" fontId="30" fillId="4" borderId="0" xfId="0" applyNumberFormat="1" applyFont="1" applyFill="1"/>
    <xf numFmtId="0" fontId="24" fillId="7" borderId="17" xfId="0" applyFont="1" applyFill="1" applyBorder="1"/>
    <xf numFmtId="0" fontId="14" fillId="7" borderId="18" xfId="0" applyFont="1" applyFill="1" applyBorder="1"/>
    <xf numFmtId="0" fontId="14" fillId="10" borderId="14" xfId="0" applyFont="1" applyFill="1" applyBorder="1" applyAlignment="1">
      <alignment horizontal="center"/>
    </xf>
    <xf numFmtId="0" fontId="14" fillId="11" borderId="13" xfId="0" applyFont="1" applyFill="1" applyBorder="1" applyAlignment="1">
      <alignment horizontal="center"/>
    </xf>
    <xf numFmtId="0" fontId="14" fillId="0" borderId="13" xfId="0" applyFont="1" applyBorder="1" applyAlignment="1">
      <alignment horizontal="center"/>
    </xf>
    <xf numFmtId="0" fontId="14" fillId="12" borderId="13" xfId="0" applyFont="1" applyFill="1" applyBorder="1" applyAlignment="1">
      <alignment horizontal="center"/>
    </xf>
    <xf numFmtId="0" fontId="14" fillId="12" borderId="12" xfId="0" applyFont="1" applyFill="1" applyBorder="1" applyAlignment="1">
      <alignment horizontal="center"/>
    </xf>
    <xf numFmtId="0" fontId="14" fillId="0" borderId="19" xfId="0" applyFont="1" applyBorder="1"/>
    <xf numFmtId="0" fontId="14" fillId="0" borderId="13" xfId="0" applyFont="1" applyBorder="1"/>
    <xf numFmtId="0" fontId="14" fillId="0" borderId="12" xfId="0" applyFont="1" applyBorder="1" applyAlignment="1">
      <alignment horizontal="center"/>
    </xf>
    <xf numFmtId="0" fontId="14" fillId="0" borderId="0" xfId="0" applyFont="1"/>
    <xf numFmtId="0" fontId="17" fillId="10" borderId="20" xfId="0" applyFont="1" applyFill="1" applyBorder="1" applyAlignment="1">
      <alignment horizontal="center"/>
    </xf>
    <xf numFmtId="0" fontId="17" fillId="11" borderId="13" xfId="0" applyFont="1" applyFill="1" applyBorder="1" applyAlignment="1">
      <alignment horizontal="center"/>
    </xf>
    <xf numFmtId="0" fontId="17" fillId="0" borderId="13" xfId="0" applyFont="1" applyBorder="1" applyAlignment="1">
      <alignment horizontal="center"/>
    </xf>
    <xf numFmtId="0" fontId="17" fillId="12" borderId="13" xfId="0" applyFont="1" applyFill="1" applyBorder="1" applyAlignment="1">
      <alignment horizontal="center"/>
    </xf>
    <xf numFmtId="0" fontId="17" fillId="12" borderId="12" xfId="0" applyFont="1" applyFill="1" applyBorder="1" applyAlignment="1">
      <alignment horizontal="center"/>
    </xf>
    <xf numFmtId="0" fontId="17" fillId="0" borderId="19" xfId="0" applyFont="1" applyBorder="1" applyAlignment="1">
      <alignment horizontal="center"/>
    </xf>
    <xf numFmtId="0" fontId="17" fillId="0" borderId="12" xfId="0" applyFont="1" applyBorder="1" applyAlignment="1">
      <alignment horizontal="center"/>
    </xf>
    <xf numFmtId="14" fontId="17" fillId="0" borderId="13" xfId="0" applyNumberFormat="1" applyFont="1" applyBorder="1" applyAlignment="1">
      <alignment horizontal="center"/>
    </xf>
    <xf numFmtId="0" fontId="17" fillId="0" borderId="0" xfId="0" applyFont="1" applyAlignment="1">
      <alignment horizontal="center"/>
    </xf>
    <xf numFmtId="0" fontId="12" fillId="10" borderId="16" xfId="0" applyFont="1" applyFill="1" applyBorder="1" applyAlignment="1">
      <alignment horizontal="center"/>
    </xf>
    <xf numFmtId="0" fontId="12" fillId="11" borderId="0" xfId="0" applyFont="1" applyFill="1" applyAlignment="1">
      <alignment horizontal="center"/>
    </xf>
    <xf numFmtId="1" fontId="12" fillId="11" borderId="0" xfId="0" applyNumberFormat="1" applyFont="1" applyFill="1" applyAlignment="1">
      <alignment horizontal="center"/>
    </xf>
    <xf numFmtId="170" fontId="12" fillId="12" borderId="0" xfId="0" applyNumberFormat="1" applyFont="1" applyFill="1" applyAlignment="1">
      <alignment horizontal="center"/>
    </xf>
    <xf numFmtId="0" fontId="12" fillId="12" borderId="0" xfId="0" applyFont="1" applyFill="1" applyAlignment="1">
      <alignment horizontal="center"/>
    </xf>
    <xf numFmtId="0" fontId="12" fillId="12" borderId="15" xfId="0" applyFont="1" applyFill="1" applyBorder="1"/>
    <xf numFmtId="0" fontId="12" fillId="0" borderId="0" xfId="0" applyFont="1" applyAlignment="1">
      <alignment horizontal="center"/>
    </xf>
    <xf numFmtId="1" fontId="12" fillId="0" borderId="0" xfId="0" applyNumberFormat="1" applyFont="1" applyAlignment="1">
      <alignment horizontal="center"/>
    </xf>
    <xf numFmtId="1" fontId="12" fillId="0" borderId="15" xfId="0" applyNumberFormat="1" applyFont="1" applyBorder="1" applyAlignment="1">
      <alignment horizontal="center"/>
    </xf>
    <xf numFmtId="14" fontId="12" fillId="0" borderId="0" xfId="0" applyNumberFormat="1" applyFont="1" applyAlignment="1">
      <alignment horizontal="center"/>
    </xf>
    <xf numFmtId="0" fontId="8" fillId="7" borderId="26" xfId="0" applyFont="1" applyFill="1" applyBorder="1"/>
    <xf numFmtId="0" fontId="12" fillId="10" borderId="24" xfId="0" applyFont="1" applyFill="1" applyBorder="1"/>
    <xf numFmtId="170" fontId="12" fillId="11" borderId="21" xfId="0" applyNumberFormat="1" applyFont="1" applyFill="1" applyBorder="1"/>
    <xf numFmtId="0" fontId="12" fillId="0" borderId="22" xfId="0" applyFont="1" applyBorder="1"/>
    <xf numFmtId="0" fontId="12" fillId="12" borderId="22" xfId="0" applyFont="1" applyFill="1" applyBorder="1"/>
    <xf numFmtId="0" fontId="12" fillId="12" borderId="23" xfId="0" applyFont="1" applyFill="1" applyBorder="1"/>
    <xf numFmtId="0" fontId="18" fillId="0" borderId="25" xfId="0" applyFont="1" applyBorder="1"/>
    <xf numFmtId="1" fontId="18" fillId="0" borderId="22" xfId="0" applyNumberFormat="1" applyFont="1" applyBorder="1"/>
    <xf numFmtId="0" fontId="12" fillId="0" borderId="21" xfId="0" applyFont="1" applyBorder="1"/>
    <xf numFmtId="170" fontId="26" fillId="0" borderId="0" xfId="0" applyNumberFormat="1" applyFont="1"/>
    <xf numFmtId="170" fontId="12" fillId="7" borderId="0" xfId="0" applyNumberFormat="1" applyFont="1" applyFill="1"/>
    <xf numFmtId="170" fontId="12" fillId="0" borderId="0" xfId="0" applyNumberFormat="1" applyFont="1"/>
    <xf numFmtId="0" fontId="18" fillId="0" borderId="0" xfId="0" applyFont="1"/>
    <xf numFmtId="1" fontId="18" fillId="0" borderId="0" xfId="0" applyNumberFormat="1" applyFont="1"/>
    <xf numFmtId="0" fontId="14" fillId="7" borderId="22" xfId="0" applyFont="1" applyFill="1" applyBorder="1"/>
    <xf numFmtId="0" fontId="14" fillId="7" borderId="25" xfId="0" applyFont="1" applyFill="1" applyBorder="1"/>
    <xf numFmtId="0" fontId="8" fillId="7" borderId="11" xfId="0" applyFont="1" applyFill="1" applyBorder="1"/>
    <xf numFmtId="0" fontId="8" fillId="7" borderId="27" xfId="0" applyFont="1" applyFill="1" applyBorder="1"/>
    <xf numFmtId="0" fontId="17" fillId="7" borderId="26" xfId="0" applyFont="1" applyFill="1" applyBorder="1" applyAlignment="1">
      <alignment horizontal="center"/>
    </xf>
    <xf numFmtId="0" fontId="17" fillId="7" borderId="22" xfId="0" applyFont="1" applyFill="1" applyBorder="1" applyAlignment="1">
      <alignment horizontal="center"/>
    </xf>
    <xf numFmtId="0" fontId="17" fillId="7" borderId="25" xfId="0" applyFont="1" applyFill="1" applyBorder="1" applyAlignment="1">
      <alignment horizontal="center"/>
    </xf>
    <xf numFmtId="0" fontId="12" fillId="7" borderId="18" xfId="0" applyFont="1" applyFill="1" applyBorder="1" applyAlignment="1">
      <alignment horizontal="center"/>
    </xf>
    <xf numFmtId="0" fontId="23" fillId="7" borderId="37" xfId="0" applyFont="1" applyFill="1" applyBorder="1" applyAlignment="1">
      <alignment horizontal="center"/>
    </xf>
    <xf numFmtId="0" fontId="12" fillId="7" borderId="21" xfId="0" applyFont="1" applyFill="1" applyBorder="1"/>
    <xf numFmtId="0" fontId="8" fillId="7" borderId="21" xfId="0" applyFont="1" applyFill="1" applyBorder="1"/>
    <xf numFmtId="0" fontId="12" fillId="7" borderId="36" xfId="0" applyFont="1" applyFill="1" applyBorder="1"/>
    <xf numFmtId="0" fontId="27" fillId="7" borderId="0" xfId="2" applyFont="1" applyFill="1"/>
    <xf numFmtId="0" fontId="17" fillId="7" borderId="0" xfId="2" applyFont="1" applyFill="1" applyAlignment="1">
      <alignment vertical="center" wrapText="1"/>
    </xf>
    <xf numFmtId="49" fontId="12" fillId="7" borderId="0" xfId="2" applyNumberFormat="1" applyFont="1" applyFill="1" applyAlignment="1">
      <alignment horizontal="left" vertical="top" wrapText="1"/>
    </xf>
    <xf numFmtId="14" fontId="12" fillId="7" borderId="1" xfId="0" applyNumberFormat="1" applyFont="1" applyFill="1" applyBorder="1" applyAlignment="1" applyProtection="1">
      <alignment horizontal="center"/>
      <protection locked="0"/>
    </xf>
    <xf numFmtId="0" fontId="0" fillId="0" borderId="1" xfId="0" applyBorder="1"/>
    <xf numFmtId="0" fontId="0" fillId="3" borderId="1" xfId="0" applyFill="1" applyBorder="1"/>
    <xf numFmtId="3" fontId="0" fillId="0" borderId="1" xfId="0" applyNumberFormat="1" applyBorder="1"/>
    <xf numFmtId="0" fontId="0" fillId="2" borderId="1" xfId="0" applyFill="1" applyBorder="1"/>
    <xf numFmtId="0" fontId="0" fillId="3" borderId="0" xfId="0" applyFill="1"/>
    <xf numFmtId="0" fontId="8" fillId="3" borderId="0" xfId="0" applyFont="1" applyFill="1" applyAlignment="1">
      <alignment wrapText="1"/>
    </xf>
    <xf numFmtId="0" fontId="0" fillId="13" borderId="38" xfId="0" applyFill="1" applyBorder="1"/>
    <xf numFmtId="0" fontId="0" fillId="13" borderId="39" xfId="0" applyFill="1" applyBorder="1"/>
    <xf numFmtId="0" fontId="0" fillId="13" borderId="40" xfId="0" applyFill="1" applyBorder="1"/>
    <xf numFmtId="0" fontId="0" fillId="13" borderId="41" xfId="0" applyFill="1" applyBorder="1"/>
    <xf numFmtId="0" fontId="8" fillId="7" borderId="42" xfId="0" applyFont="1" applyFill="1" applyBorder="1" applyAlignment="1">
      <alignment horizontal="left" vertical="top" wrapText="1"/>
    </xf>
    <xf numFmtId="0" fontId="0" fillId="13" borderId="43" xfId="0" applyFill="1" applyBorder="1"/>
    <xf numFmtId="0" fontId="8" fillId="7" borderId="44" xfId="0" applyFont="1" applyFill="1" applyBorder="1" applyAlignment="1">
      <alignment horizontal="left" vertical="top" wrapText="1"/>
    </xf>
    <xf numFmtId="0" fontId="8" fillId="7" borderId="45" xfId="0" applyFont="1" applyFill="1" applyBorder="1" applyAlignment="1">
      <alignment horizontal="left" vertical="top" wrapText="1"/>
    </xf>
    <xf numFmtId="14" fontId="16" fillId="4" borderId="1" xfId="0" applyNumberFormat="1" applyFont="1" applyFill="1" applyBorder="1" applyAlignment="1">
      <alignment horizontal="center"/>
    </xf>
    <xf numFmtId="14" fontId="30" fillId="4" borderId="1" xfId="0" applyNumberFormat="1" applyFont="1" applyFill="1" applyBorder="1"/>
    <xf numFmtId="14" fontId="31" fillId="4" borderId="0" xfId="0" applyNumberFormat="1" applyFont="1" applyFill="1"/>
    <xf numFmtId="173" fontId="12" fillId="0" borderId="0" xfId="0" applyNumberFormat="1" applyFont="1" applyAlignment="1">
      <alignment horizontal="center"/>
    </xf>
    <xf numFmtId="174" fontId="12" fillId="0" borderId="0" xfId="0" applyNumberFormat="1" applyFont="1" applyAlignment="1">
      <alignment horizontal="center"/>
    </xf>
    <xf numFmtId="0" fontId="8" fillId="4" borderId="17" xfId="0" applyFont="1" applyFill="1" applyBorder="1"/>
    <xf numFmtId="0" fontId="29" fillId="4" borderId="0" xfId="0" applyFont="1" applyFill="1" applyAlignment="1">
      <alignment horizontal="center"/>
    </xf>
    <xf numFmtId="0" fontId="39" fillId="4" borderId="0" xfId="0" applyFont="1" applyFill="1" applyAlignment="1">
      <alignment horizontal="center"/>
    </xf>
    <xf numFmtId="2" fontId="12" fillId="0" borderId="0" xfId="0" applyNumberFormat="1" applyFont="1" applyAlignment="1">
      <alignment horizontal="center"/>
    </xf>
    <xf numFmtId="0" fontId="18" fillId="7" borderId="0" xfId="12" applyFont="1" applyFill="1" applyBorder="1" applyAlignment="1" applyProtection="1">
      <alignment horizontal="left"/>
      <protection locked="0"/>
    </xf>
    <xf numFmtId="0" fontId="18" fillId="7" borderId="10" xfId="12" applyFont="1" applyFill="1" applyBorder="1" applyAlignment="1" applyProtection="1">
      <alignment horizontal="left"/>
      <protection locked="0"/>
    </xf>
    <xf numFmtId="0" fontId="18" fillId="7" borderId="8" xfId="12" applyFont="1" applyFill="1" applyBorder="1" applyAlignment="1" applyProtection="1">
      <alignment horizontal="left"/>
      <protection locked="0"/>
    </xf>
    <xf numFmtId="0" fontId="18" fillId="7" borderId="47" xfId="12" applyFont="1" applyFill="1" applyBorder="1" applyAlignment="1" applyProtection="1">
      <alignment horizontal="left"/>
      <protection locked="0"/>
    </xf>
    <xf numFmtId="0" fontId="17" fillId="0" borderId="0" xfId="0" applyFont="1"/>
    <xf numFmtId="1" fontId="12" fillId="15" borderId="0" xfId="0" applyNumberFormat="1" applyFont="1" applyFill="1" applyAlignment="1">
      <alignment horizontal="center"/>
    </xf>
    <xf numFmtId="170" fontId="26" fillId="15" borderId="3" xfId="0" applyNumberFormat="1" applyFont="1" applyFill="1" applyBorder="1"/>
    <xf numFmtId="1" fontId="12" fillId="11" borderId="18" xfId="0" applyNumberFormat="1" applyFont="1" applyFill="1" applyBorder="1" applyAlignment="1">
      <alignment horizontal="center"/>
    </xf>
    <xf numFmtId="170" fontId="26" fillId="11" borderId="36" xfId="0" applyNumberFormat="1" applyFont="1" applyFill="1" applyBorder="1"/>
    <xf numFmtId="0" fontId="31" fillId="16" borderId="0" xfId="0" applyFont="1" applyFill="1"/>
    <xf numFmtId="0" fontId="8" fillId="16" borderId="18" xfId="0" applyFont="1" applyFill="1" applyBorder="1"/>
    <xf numFmtId="0" fontId="31" fillId="16" borderId="17" xfId="0" applyFont="1" applyFill="1" applyBorder="1"/>
    <xf numFmtId="0" fontId="8" fillId="16" borderId="0" xfId="0" applyFont="1" applyFill="1"/>
    <xf numFmtId="0" fontId="8" fillId="15" borderId="0" xfId="0" applyFont="1" applyFill="1"/>
    <xf numFmtId="0" fontId="41" fillId="16" borderId="17" xfId="0" applyFont="1" applyFill="1" applyBorder="1"/>
    <xf numFmtId="0" fontId="42" fillId="16" borderId="17" xfId="0" applyFont="1" applyFill="1" applyBorder="1"/>
    <xf numFmtId="0" fontId="8" fillId="16" borderId="17" xfId="0" applyFont="1" applyFill="1" applyBorder="1"/>
    <xf numFmtId="14" fontId="31" fillId="16" borderId="0" xfId="0" applyNumberFormat="1" applyFont="1" applyFill="1"/>
    <xf numFmtId="14" fontId="19" fillId="4" borderId="0" xfId="0" applyNumberFormat="1" applyFont="1" applyFill="1"/>
    <xf numFmtId="14" fontId="19" fillId="4" borderId="18" xfId="0" applyNumberFormat="1" applyFont="1" applyFill="1" applyBorder="1"/>
    <xf numFmtId="1" fontId="12" fillId="15" borderId="14" xfId="0" applyNumberFormat="1" applyFont="1" applyFill="1" applyBorder="1" applyAlignment="1">
      <alignment horizontal="center"/>
    </xf>
    <xf numFmtId="0" fontId="8" fillId="15" borderId="12" xfId="0" applyFont="1" applyFill="1" applyBorder="1"/>
    <xf numFmtId="1" fontId="12" fillId="15" borderId="13" xfId="0" applyNumberFormat="1" applyFont="1" applyFill="1" applyBorder="1" applyAlignment="1">
      <alignment horizontal="center"/>
    </xf>
    <xf numFmtId="14" fontId="30" fillId="4" borderId="0" xfId="0" applyNumberFormat="1" applyFont="1" applyFill="1" applyAlignment="1">
      <alignment horizontal="center"/>
    </xf>
    <xf numFmtId="0" fontId="43" fillId="4" borderId="17" xfId="0" applyFont="1" applyFill="1" applyBorder="1"/>
    <xf numFmtId="0" fontId="30" fillId="4" borderId="14" xfId="0" applyFont="1" applyFill="1" applyBorder="1"/>
    <xf numFmtId="14" fontId="30" fillId="4" borderId="13" xfId="0" applyNumberFormat="1" applyFont="1" applyFill="1" applyBorder="1"/>
    <xf numFmtId="14" fontId="29" fillId="4" borderId="0" xfId="0" applyNumberFormat="1" applyFont="1" applyFill="1"/>
    <xf numFmtId="0" fontId="12" fillId="7" borderId="49" xfId="0" applyFont="1" applyFill="1" applyBorder="1"/>
    <xf numFmtId="0" fontId="12" fillId="7" borderId="48" xfId="0" applyFont="1" applyFill="1" applyBorder="1"/>
    <xf numFmtId="170" fontId="17" fillId="7" borderId="48" xfId="2" applyNumberFormat="1" applyFont="1" applyFill="1" applyBorder="1" applyAlignment="1">
      <alignment horizontal="center"/>
    </xf>
    <xf numFmtId="0" fontId="9" fillId="7" borderId="48" xfId="0" applyFont="1" applyFill="1" applyBorder="1" applyAlignment="1">
      <alignment horizontal="center"/>
    </xf>
    <xf numFmtId="170" fontId="12" fillId="8" borderId="1" xfId="0" applyNumberFormat="1" applyFont="1" applyFill="1" applyBorder="1" applyProtection="1">
      <protection locked="0"/>
    </xf>
    <xf numFmtId="14" fontId="12" fillId="8" borderId="4" xfId="2" applyNumberFormat="1" applyFont="1" applyFill="1" applyBorder="1" applyAlignment="1" applyProtection="1">
      <alignment horizontal="center"/>
      <protection locked="0"/>
    </xf>
    <xf numFmtId="0" fontId="12" fillId="7" borderId="17" xfId="0" applyFont="1" applyFill="1" applyBorder="1" applyAlignment="1" applyProtection="1">
      <alignment horizontal="center"/>
      <protection locked="0"/>
    </xf>
    <xf numFmtId="14" fontId="29" fillId="4" borderId="20" xfId="0" applyNumberFormat="1" applyFont="1" applyFill="1" applyBorder="1"/>
    <xf numFmtId="14" fontId="12" fillId="14" borderId="2" xfId="0" applyNumberFormat="1" applyFont="1" applyFill="1" applyBorder="1" applyAlignment="1" applyProtection="1">
      <alignment horizontal="center"/>
      <protection locked="0"/>
    </xf>
    <xf numFmtId="14" fontId="12" fillId="14" borderId="8" xfId="0" applyNumberFormat="1" applyFont="1" applyFill="1" applyBorder="1" applyAlignment="1" applyProtection="1">
      <alignment horizontal="center"/>
      <protection locked="0"/>
    </xf>
    <xf numFmtId="0" fontId="44" fillId="17" borderId="17" xfId="0" applyFont="1" applyFill="1" applyBorder="1" applyAlignment="1" applyProtection="1">
      <alignment horizontal="center"/>
      <protection locked="0"/>
    </xf>
    <xf numFmtId="0" fontId="44" fillId="7" borderId="17" xfId="0" applyFont="1" applyFill="1" applyBorder="1" applyAlignment="1" applyProtection="1">
      <alignment horizontal="center"/>
      <protection locked="0"/>
    </xf>
    <xf numFmtId="0" fontId="26" fillId="15" borderId="3" xfId="0" applyFont="1" applyFill="1" applyBorder="1"/>
    <xf numFmtId="170" fontId="26" fillId="15" borderId="0" xfId="0" applyNumberFormat="1" applyFont="1" applyFill="1"/>
    <xf numFmtId="0" fontId="26" fillId="15" borderId="0" xfId="0" applyFont="1" applyFill="1"/>
    <xf numFmtId="0" fontId="12" fillId="15" borderId="0" xfId="0" applyFont="1" applyFill="1"/>
    <xf numFmtId="170" fontId="12" fillId="15" borderId="0" xfId="0" applyNumberFormat="1" applyFont="1" applyFill="1"/>
    <xf numFmtId="0" fontId="12" fillId="7" borderId="1" xfId="2" applyFont="1" applyFill="1" applyBorder="1" applyAlignment="1">
      <alignment horizontal="left"/>
    </xf>
    <xf numFmtId="14" fontId="12" fillId="17" borderId="18" xfId="0" applyNumberFormat="1" applyFont="1" applyFill="1" applyBorder="1" applyAlignment="1" applyProtection="1">
      <alignment horizontal="center"/>
      <protection locked="0"/>
    </xf>
    <xf numFmtId="14" fontId="12" fillId="14" borderId="1" xfId="0" applyNumberFormat="1" applyFont="1" applyFill="1" applyBorder="1" applyAlignment="1" applyProtection="1">
      <alignment horizontal="center"/>
      <protection locked="0"/>
    </xf>
    <xf numFmtId="14" fontId="12" fillId="17" borderId="10" xfId="0" applyNumberFormat="1" applyFont="1" applyFill="1" applyBorder="1" applyAlignment="1" applyProtection="1">
      <alignment horizontal="center"/>
      <protection locked="0"/>
    </xf>
    <xf numFmtId="0" fontId="0" fillId="0" borderId="0" xfId="0" applyAlignment="1">
      <alignment horizontal="center"/>
    </xf>
    <xf numFmtId="0" fontId="52" fillId="0" borderId="0" xfId="0" applyFont="1" applyAlignment="1">
      <alignment horizontal="center"/>
    </xf>
    <xf numFmtId="0" fontId="50" fillId="0" borderId="0" xfId="0" applyFont="1" applyAlignment="1">
      <alignment horizontal="center"/>
    </xf>
    <xf numFmtId="0" fontId="51" fillId="0" borderId="0" xfId="0" applyFont="1" applyAlignment="1">
      <alignment horizontal="center"/>
    </xf>
    <xf numFmtId="14" fontId="0" fillId="0" borderId="0" xfId="0" applyNumberFormat="1" applyAlignment="1">
      <alignment horizontal="center"/>
    </xf>
    <xf numFmtId="0" fontId="0" fillId="0" borderId="18" xfId="0" applyBorder="1" applyAlignment="1">
      <alignment horizontal="center"/>
    </xf>
    <xf numFmtId="0" fontId="52" fillId="0" borderId="18" xfId="0" applyFont="1" applyBorder="1" applyAlignment="1">
      <alignment horizontal="center"/>
    </xf>
    <xf numFmtId="0" fontId="50" fillId="0" borderId="18" xfId="0" applyFont="1" applyBorder="1" applyAlignment="1">
      <alignment horizontal="center"/>
    </xf>
    <xf numFmtId="14" fontId="0" fillId="0" borderId="18" xfId="0" applyNumberFormat="1" applyBorder="1" applyAlignment="1">
      <alignment horizontal="center"/>
    </xf>
    <xf numFmtId="0" fontId="0" fillId="7" borderId="0" xfId="0" applyFill="1" applyAlignment="1">
      <alignment horizontal="left"/>
    </xf>
    <xf numFmtId="0" fontId="0" fillId="7" borderId="0" xfId="0" applyFill="1" applyAlignment="1">
      <alignment horizontal="center"/>
    </xf>
    <xf numFmtId="0" fontId="0" fillId="7" borderId="0" xfId="0" quotePrefix="1" applyFill="1" applyAlignment="1">
      <alignment horizontal="center"/>
    </xf>
    <xf numFmtId="0" fontId="52" fillId="7" borderId="0" xfId="0" applyFont="1" applyFill="1" applyAlignment="1">
      <alignment horizontal="center"/>
    </xf>
    <xf numFmtId="0" fontId="50" fillId="7" borderId="0" xfId="0" applyFont="1" applyFill="1" applyAlignment="1">
      <alignment horizontal="center"/>
    </xf>
    <xf numFmtId="14" fontId="0" fillId="7" borderId="0" xfId="0" applyNumberFormat="1" applyFill="1" applyAlignment="1">
      <alignment horizontal="center"/>
    </xf>
    <xf numFmtId="14" fontId="50" fillId="0" borderId="0" xfId="0" applyNumberFormat="1" applyFont="1" applyAlignment="1" applyProtection="1">
      <alignment horizontal="center"/>
      <protection locked="0"/>
    </xf>
    <xf numFmtId="0" fontId="33" fillId="4" borderId="0" xfId="0" applyFont="1" applyFill="1"/>
    <xf numFmtId="0" fontId="8" fillId="4" borderId="0" xfId="0" applyFont="1" applyFill="1" applyAlignment="1">
      <alignment horizontal="left"/>
    </xf>
    <xf numFmtId="14" fontId="8" fillId="4" borderId="0" xfId="0" applyNumberFormat="1" applyFont="1" applyFill="1" applyAlignment="1">
      <alignment horizontal="left"/>
    </xf>
    <xf numFmtId="14" fontId="12" fillId="4" borderId="0" xfId="2" applyNumberFormat="1" applyFont="1" applyFill="1" applyAlignment="1">
      <alignment horizontal="left"/>
    </xf>
    <xf numFmtId="0" fontId="8" fillId="4" borderId="0" xfId="0" applyFont="1" applyFill="1" applyAlignment="1">
      <alignment horizontal="left" wrapText="1"/>
    </xf>
    <xf numFmtId="1" fontId="0" fillId="0" borderId="1" xfId="0" applyNumberFormat="1" applyBorder="1"/>
    <xf numFmtId="0" fontId="37" fillId="20" borderId="17" xfId="0" applyFont="1" applyFill="1" applyBorder="1"/>
    <xf numFmtId="0" fontId="8" fillId="20" borderId="0" xfId="0" applyFont="1" applyFill="1"/>
    <xf numFmtId="0" fontId="8" fillId="20" borderId="18" xfId="0" applyFont="1" applyFill="1" applyBorder="1"/>
    <xf numFmtId="0" fontId="8" fillId="20" borderId="17" xfId="0" applyFont="1" applyFill="1" applyBorder="1"/>
    <xf numFmtId="0" fontId="8" fillId="4" borderId="0" xfId="0" applyFont="1" applyFill="1" applyAlignment="1">
      <alignment horizontal="center"/>
    </xf>
    <xf numFmtId="14" fontId="8" fillId="4" borderId="0" xfId="0" applyNumberFormat="1" applyFont="1" applyFill="1" applyAlignment="1">
      <alignment horizontal="center"/>
    </xf>
    <xf numFmtId="0" fontId="8" fillId="20" borderId="0" xfId="0" applyFont="1" applyFill="1" applyAlignment="1">
      <alignment horizontal="center"/>
    </xf>
    <xf numFmtId="2" fontId="8" fillId="4" borderId="0" xfId="0" applyNumberFormat="1" applyFont="1" applyFill="1" applyAlignment="1">
      <alignment horizontal="center"/>
    </xf>
    <xf numFmtId="14" fontId="54" fillId="20" borderId="0" xfId="0" applyNumberFormat="1" applyFont="1" applyFill="1"/>
    <xf numFmtId="0" fontId="38" fillId="18" borderId="16" xfId="0" applyFont="1" applyFill="1" applyBorder="1" applyAlignment="1">
      <alignment horizontal="left"/>
    </xf>
    <xf numFmtId="0" fontId="0" fillId="18" borderId="0" xfId="0" applyFill="1" applyAlignment="1">
      <alignment horizontal="left"/>
    </xf>
    <xf numFmtId="0" fontId="0" fillId="0" borderId="0" xfId="0" applyAlignment="1">
      <alignment horizontal="left"/>
    </xf>
    <xf numFmtId="0" fontId="0" fillId="0" borderId="18" xfId="0" applyBorder="1" applyAlignment="1">
      <alignment horizontal="left"/>
    </xf>
    <xf numFmtId="0" fontId="2" fillId="18" borderId="50" xfId="0" applyFont="1" applyFill="1" applyBorder="1" applyAlignment="1">
      <alignment horizontal="center"/>
    </xf>
    <xf numFmtId="14" fontId="0" fillId="18" borderId="0" xfId="0" applyNumberFormat="1" applyFill="1" applyAlignment="1">
      <alignment horizontal="center"/>
    </xf>
    <xf numFmtId="0" fontId="2" fillId="18" borderId="18" xfId="0" applyFont="1" applyFill="1" applyBorder="1" applyAlignment="1">
      <alignment horizontal="center"/>
    </xf>
    <xf numFmtId="0" fontId="0" fillId="0" borderId="0" xfId="0" quotePrefix="1" applyAlignment="1">
      <alignment horizontal="center"/>
    </xf>
    <xf numFmtId="14" fontId="53" fillId="19" borderId="0" xfId="0" applyNumberFormat="1" applyFont="1" applyFill="1" applyAlignment="1">
      <alignment horizontal="center"/>
    </xf>
    <xf numFmtId="0" fontId="38" fillId="18" borderId="50" xfId="0" applyFont="1" applyFill="1" applyBorder="1" applyAlignment="1">
      <alignment horizontal="left"/>
    </xf>
    <xf numFmtId="0" fontId="8" fillId="18" borderId="0" xfId="0" applyFont="1" applyFill="1"/>
    <xf numFmtId="2" fontId="8" fillId="0" borderId="0" xfId="0" applyNumberFormat="1" applyFont="1"/>
    <xf numFmtId="0" fontId="52" fillId="18" borderId="18" xfId="0" applyFont="1" applyFill="1" applyBorder="1" applyAlignment="1">
      <alignment horizontal="center"/>
    </xf>
    <xf numFmtId="0" fontId="8" fillId="7" borderId="0" xfId="0" applyFont="1" applyFill="1" applyProtection="1">
      <protection locked="0"/>
    </xf>
    <xf numFmtId="0" fontId="8" fillId="7" borderId="17" xfId="0" applyFont="1" applyFill="1" applyBorder="1" applyAlignment="1">
      <alignment horizontal="center" wrapText="1"/>
    </xf>
    <xf numFmtId="0" fontId="8" fillId="7" borderId="0" xfId="0" applyFont="1" applyFill="1" applyAlignment="1">
      <alignment horizontal="center" wrapText="1"/>
    </xf>
    <xf numFmtId="0" fontId="8" fillId="7" borderId="18" xfId="0" applyFont="1" applyFill="1" applyBorder="1" applyAlignment="1">
      <alignment horizontal="center" wrapText="1"/>
    </xf>
    <xf numFmtId="0" fontId="9" fillId="0" borderId="0" xfId="0" applyFont="1"/>
    <xf numFmtId="4" fontId="16" fillId="0" borderId="0" xfId="2" applyNumberFormat="1" applyFont="1"/>
    <xf numFmtId="14" fontId="56" fillId="18" borderId="0" xfId="0" applyNumberFormat="1" applyFont="1" applyFill="1" applyAlignment="1">
      <alignment horizontal="center"/>
    </xf>
    <xf numFmtId="0" fontId="45" fillId="7" borderId="17" xfId="0" applyFont="1" applyFill="1" applyBorder="1" applyAlignment="1">
      <alignment horizontal="center"/>
    </xf>
    <xf numFmtId="0" fontId="45" fillId="7" borderId="0" xfId="0" applyFont="1" applyFill="1" applyAlignment="1">
      <alignment horizontal="center"/>
    </xf>
    <xf numFmtId="0" fontId="45" fillId="7" borderId="48" xfId="0" applyFont="1" applyFill="1" applyBorder="1" applyAlignment="1">
      <alignment horizontal="center"/>
    </xf>
    <xf numFmtId="0" fontId="14" fillId="15" borderId="14" xfId="0" applyFont="1" applyFill="1" applyBorder="1" applyAlignment="1">
      <alignment horizontal="center"/>
    </xf>
    <xf numFmtId="0" fontId="14" fillId="15" borderId="13" xfId="0" applyFont="1" applyFill="1" applyBorder="1" applyAlignment="1">
      <alignment horizontal="center"/>
    </xf>
    <xf numFmtId="0" fontId="14" fillId="15" borderId="12" xfId="0" applyFont="1" applyFill="1" applyBorder="1" applyAlignment="1">
      <alignment horizontal="center"/>
    </xf>
    <xf numFmtId="0" fontId="17" fillId="15" borderId="1" xfId="0" applyFont="1" applyFill="1" applyBorder="1" applyAlignment="1">
      <alignment horizontal="center"/>
    </xf>
    <xf numFmtId="170" fontId="12" fillId="7" borderId="0" xfId="0" applyNumberFormat="1" applyFont="1" applyFill="1" applyAlignment="1">
      <alignment horizontal="center"/>
    </xf>
    <xf numFmtId="0" fontId="12" fillId="7" borderId="16" xfId="0" applyFont="1" applyFill="1" applyBorder="1" applyAlignment="1" applyProtection="1">
      <alignment horizontal="center"/>
      <protection locked="0"/>
    </xf>
    <xf numFmtId="0" fontId="12" fillId="7" borderId="0" xfId="0" applyFont="1" applyFill="1" applyAlignment="1" applyProtection="1">
      <alignment horizontal="center"/>
      <protection locked="0"/>
    </xf>
    <xf numFmtId="171" fontId="12" fillId="7" borderId="0" xfId="0" applyNumberFormat="1" applyFont="1" applyFill="1"/>
    <xf numFmtId="0" fontId="14" fillId="7" borderId="26" xfId="0" applyFont="1" applyFill="1" applyBorder="1" applyAlignment="1">
      <alignment horizontal="center"/>
    </xf>
    <xf numFmtId="0" fontId="14" fillId="7" borderId="22" xfId="0" applyFont="1" applyFill="1" applyBorder="1" applyAlignment="1">
      <alignment horizontal="center"/>
    </xf>
    <xf numFmtId="0" fontId="25" fillId="7" borderId="22" xfId="0" applyFont="1" applyFill="1" applyBorder="1"/>
    <xf numFmtId="0" fontId="25" fillId="8" borderId="17" xfId="0" applyFont="1" applyFill="1" applyBorder="1" applyAlignment="1">
      <alignment horizontal="center"/>
    </xf>
    <xf numFmtId="0" fontId="25" fillId="8" borderId="0" xfId="0" applyFont="1" applyFill="1" applyAlignment="1">
      <alignment horizontal="center"/>
    </xf>
    <xf numFmtId="0" fontId="25" fillId="8" borderId="18" xfId="0" applyFont="1" applyFill="1" applyBorder="1" applyAlignment="1">
      <alignment horizontal="center"/>
    </xf>
    <xf numFmtId="0" fontId="12" fillId="7" borderId="17" xfId="0" applyFont="1" applyFill="1" applyBorder="1" applyAlignment="1">
      <alignment horizontal="left"/>
    </xf>
    <xf numFmtId="0" fontId="12" fillId="7" borderId="0" xfId="0" applyFont="1" applyFill="1" applyAlignment="1">
      <alignment horizontal="left"/>
    </xf>
    <xf numFmtId="0" fontId="12" fillId="7" borderId="17" xfId="0" applyFont="1" applyFill="1" applyBorder="1" applyAlignment="1">
      <alignment horizontal="center"/>
    </xf>
    <xf numFmtId="0" fontId="12" fillId="7" borderId="0" xfId="0" applyFont="1" applyFill="1" applyAlignment="1">
      <alignment horizontal="center"/>
    </xf>
    <xf numFmtId="172" fontId="17" fillId="9" borderId="0" xfId="0" applyNumberFormat="1" applyFont="1" applyFill="1" applyAlignment="1">
      <alignment horizontal="center"/>
    </xf>
    <xf numFmtId="0" fontId="18" fillId="7" borderId="17" xfId="0" applyFont="1" applyFill="1" applyBorder="1" applyAlignment="1">
      <alignment horizontal="center"/>
    </xf>
    <xf numFmtId="0" fontId="18" fillId="7" borderId="0" xfId="0" applyFont="1" applyFill="1" applyAlignment="1">
      <alignment horizontal="center"/>
    </xf>
    <xf numFmtId="0" fontId="20" fillId="7" borderId="5" xfId="0" applyFont="1" applyFill="1" applyBorder="1" applyAlignment="1">
      <alignment horizontal="center" vertical="center"/>
    </xf>
    <xf numFmtId="0" fontId="20" fillId="7" borderId="2" xfId="0" applyFont="1" applyFill="1" applyBorder="1" applyAlignment="1">
      <alignment horizontal="center" vertical="center"/>
    </xf>
    <xf numFmtId="0" fontId="20" fillId="7" borderId="4" xfId="0" applyFont="1" applyFill="1" applyBorder="1" applyAlignment="1">
      <alignment horizontal="center" vertical="center"/>
    </xf>
    <xf numFmtId="170" fontId="12" fillId="7" borderId="21" xfId="0" applyNumberFormat="1" applyFont="1" applyFill="1" applyBorder="1"/>
    <xf numFmtId="0" fontId="47" fillId="7" borderId="26" xfId="0" applyFont="1" applyFill="1" applyBorder="1" applyAlignment="1">
      <alignment horizontal="center"/>
    </xf>
    <xf numFmtId="0" fontId="47" fillId="7" borderId="22" xfId="0" applyFont="1" applyFill="1" applyBorder="1" applyAlignment="1">
      <alignment horizontal="center"/>
    </xf>
    <xf numFmtId="0" fontId="47" fillId="7" borderId="25" xfId="0" applyFont="1" applyFill="1" applyBorder="1" applyAlignment="1">
      <alignment horizontal="center"/>
    </xf>
    <xf numFmtId="14" fontId="12" fillId="7" borderId="29" xfId="2" applyNumberFormat="1" applyFont="1" applyFill="1" applyBorder="1" applyAlignment="1">
      <alignment horizontal="center" wrapText="1"/>
    </xf>
    <xf numFmtId="14" fontId="12" fillId="7" borderId="11" xfId="2" applyNumberFormat="1" applyFont="1" applyFill="1" applyBorder="1" applyAlignment="1">
      <alignment horizontal="center" wrapText="1"/>
    </xf>
    <xf numFmtId="14" fontId="12" fillId="7" borderId="27" xfId="2" applyNumberFormat="1" applyFont="1" applyFill="1" applyBorder="1" applyAlignment="1">
      <alignment horizontal="center" wrapText="1"/>
    </xf>
    <xf numFmtId="1" fontId="18" fillId="7" borderId="28" xfId="0" applyNumberFormat="1" applyFont="1" applyFill="1" applyBorder="1"/>
    <xf numFmtId="1" fontId="18" fillId="7" borderId="22" xfId="0" applyNumberFormat="1" applyFont="1" applyFill="1" applyBorder="1"/>
    <xf numFmtId="0" fontId="32" fillId="7" borderId="17" xfId="2" applyFont="1" applyFill="1" applyBorder="1" applyAlignment="1">
      <alignment horizontal="center" vertical="center" wrapText="1"/>
    </xf>
    <xf numFmtId="0" fontId="32" fillId="7" borderId="0" xfId="2" applyFont="1" applyFill="1" applyAlignment="1">
      <alignment horizontal="center" vertical="center" wrapText="1"/>
    </xf>
    <xf numFmtId="170" fontId="34" fillId="7" borderId="30" xfId="2" applyNumberFormat="1" applyFont="1" applyFill="1" applyBorder="1" applyAlignment="1">
      <alignment horizontal="center"/>
    </xf>
    <xf numFmtId="170" fontId="34" fillId="7" borderId="31" xfId="2" applyNumberFormat="1" applyFont="1" applyFill="1" applyBorder="1" applyAlignment="1">
      <alignment horizontal="center"/>
    </xf>
    <xf numFmtId="0" fontId="32" fillId="7" borderId="18" xfId="2" applyFont="1" applyFill="1" applyBorder="1" applyAlignment="1">
      <alignment horizontal="center" vertical="center" wrapText="1"/>
    </xf>
    <xf numFmtId="170" fontId="34" fillId="7" borderId="31" xfId="0" applyNumberFormat="1" applyFont="1" applyFill="1" applyBorder="1" applyAlignment="1">
      <alignment horizontal="center"/>
    </xf>
    <xf numFmtId="170" fontId="34" fillId="7" borderId="32" xfId="0" applyNumberFormat="1" applyFont="1" applyFill="1" applyBorder="1" applyAlignment="1">
      <alignment horizontal="center"/>
    </xf>
    <xf numFmtId="0" fontId="35" fillId="7" borderId="33" xfId="0" applyFont="1" applyFill="1" applyBorder="1" applyAlignment="1">
      <alignment horizontal="center" wrapText="1"/>
    </xf>
    <xf numFmtId="0" fontId="35" fillId="7" borderId="34" xfId="0" applyFont="1" applyFill="1" applyBorder="1" applyAlignment="1">
      <alignment horizontal="center" wrapText="1"/>
    </xf>
    <xf numFmtId="0" fontId="35" fillId="7" borderId="35" xfId="0" applyFont="1" applyFill="1" applyBorder="1" applyAlignment="1">
      <alignment horizontal="center" wrapText="1"/>
    </xf>
    <xf numFmtId="0" fontId="35" fillId="7" borderId="17" xfId="0" applyFont="1" applyFill="1" applyBorder="1" applyAlignment="1">
      <alignment horizontal="center" wrapText="1"/>
    </xf>
    <xf numFmtId="0" fontId="35" fillId="7" borderId="0" xfId="0" applyFont="1" applyFill="1" applyAlignment="1">
      <alignment horizontal="center" wrapText="1"/>
    </xf>
    <xf numFmtId="0" fontId="35" fillId="7" borderId="18" xfId="0" applyFont="1" applyFill="1" applyBorder="1" applyAlignment="1">
      <alignment horizontal="center" wrapText="1"/>
    </xf>
    <xf numFmtId="0" fontId="35" fillId="7" borderId="6" xfId="0" applyFont="1" applyFill="1" applyBorder="1" applyAlignment="1">
      <alignment horizontal="center" wrapText="1"/>
    </xf>
    <xf numFmtId="0" fontId="35" fillId="7" borderId="8" xfId="0" applyFont="1" applyFill="1" applyBorder="1" applyAlignment="1">
      <alignment horizontal="center" wrapText="1"/>
    </xf>
    <xf numFmtId="0" fontId="35" fillId="7" borderId="9" xfId="0" applyFont="1" applyFill="1" applyBorder="1" applyAlignment="1">
      <alignment horizontal="center" wrapText="1"/>
    </xf>
    <xf numFmtId="0" fontId="12" fillId="7" borderId="18" xfId="0" applyFont="1" applyFill="1" applyBorder="1" applyAlignment="1" applyProtection="1">
      <alignment horizontal="center"/>
      <protection locked="0"/>
    </xf>
    <xf numFmtId="0" fontId="12" fillId="7" borderId="15" xfId="0" applyFont="1" applyFill="1" applyBorder="1" applyAlignment="1" applyProtection="1">
      <alignment horizontal="center"/>
      <protection locked="0"/>
    </xf>
    <xf numFmtId="170" fontId="12" fillId="7" borderId="22" xfId="0" applyNumberFormat="1" applyFont="1" applyFill="1" applyBorder="1"/>
    <xf numFmtId="0" fontId="27" fillId="7" borderId="26" xfId="2" applyFont="1" applyFill="1" applyBorder="1" applyAlignment="1">
      <alignment horizontal="center"/>
    </xf>
    <xf numFmtId="0" fontId="27" fillId="7" borderId="22" xfId="2" applyFont="1" applyFill="1" applyBorder="1" applyAlignment="1">
      <alignment horizontal="center"/>
    </xf>
    <xf numFmtId="0" fontId="27" fillId="7" borderId="25" xfId="2" applyFont="1" applyFill="1" applyBorder="1" applyAlignment="1">
      <alignment horizontal="center"/>
    </xf>
    <xf numFmtId="14" fontId="29" fillId="4" borderId="0" xfId="0" applyNumberFormat="1" applyFont="1" applyFill="1" applyAlignment="1">
      <alignment horizontal="center"/>
    </xf>
    <xf numFmtId="0" fontId="17" fillId="7" borderId="16" xfId="0" applyFont="1" applyFill="1" applyBorder="1" applyAlignment="1">
      <alignment horizontal="center"/>
    </xf>
    <xf numFmtId="0" fontId="17" fillId="7" borderId="0" xfId="0" applyFont="1" applyFill="1" applyAlignment="1">
      <alignment horizontal="center"/>
    </xf>
    <xf numFmtId="168" fontId="12" fillId="7" borderId="16" xfId="0" applyNumberFormat="1" applyFont="1" applyFill="1" applyBorder="1" applyAlignment="1" applyProtection="1">
      <alignment horizontal="center"/>
      <protection locked="0"/>
    </xf>
    <xf numFmtId="168" fontId="12" fillId="7" borderId="0" xfId="0" applyNumberFormat="1" applyFont="1" applyFill="1" applyAlignment="1" applyProtection="1">
      <alignment horizontal="center"/>
      <protection locked="0"/>
    </xf>
    <xf numFmtId="0" fontId="12" fillId="14" borderId="5" xfId="2" applyFont="1" applyFill="1" applyBorder="1" applyAlignment="1" applyProtection="1">
      <alignment horizontal="left"/>
      <protection locked="0"/>
    </xf>
    <xf numFmtId="0" fontId="12" fillId="14" borderId="2" xfId="2" applyFont="1" applyFill="1" applyBorder="1" applyAlignment="1" applyProtection="1">
      <alignment horizontal="left"/>
      <protection locked="0"/>
    </xf>
    <xf numFmtId="0" fontId="12" fillId="14" borderId="46" xfId="2" applyFont="1" applyFill="1" applyBorder="1" applyAlignment="1" applyProtection="1">
      <alignment horizontal="left"/>
      <protection locked="0"/>
    </xf>
    <xf numFmtId="0" fontId="18" fillId="14" borderId="5" xfId="12" applyFont="1" applyFill="1" applyBorder="1" applyAlignment="1" applyProtection="1">
      <alignment horizontal="left"/>
      <protection locked="0"/>
    </xf>
    <xf numFmtId="0" fontId="18" fillId="14" borderId="2" xfId="12" applyFont="1" applyFill="1" applyBorder="1" applyAlignment="1" applyProtection="1">
      <alignment horizontal="left"/>
      <protection locked="0"/>
    </xf>
    <xf numFmtId="0" fontId="18" fillId="14" borderId="46" xfId="12" applyFont="1" applyFill="1" applyBorder="1" applyAlignment="1" applyProtection="1">
      <alignment horizontal="left"/>
      <protection locked="0"/>
    </xf>
    <xf numFmtId="0" fontId="12" fillId="8" borderId="5" xfId="2" applyFont="1" applyFill="1" applyBorder="1" applyAlignment="1" applyProtection="1">
      <alignment horizontal="left"/>
      <protection locked="0"/>
    </xf>
    <xf numFmtId="0" fontId="12" fillId="8" borderId="2" xfId="2" applyFont="1" applyFill="1" applyBorder="1" applyAlignment="1" applyProtection="1">
      <alignment horizontal="left"/>
      <protection locked="0"/>
    </xf>
    <xf numFmtId="0" fontId="12" fillId="8" borderId="4" xfId="2" applyFont="1" applyFill="1" applyBorder="1" applyAlignment="1" applyProtection="1">
      <alignment horizontal="left"/>
      <protection locked="0"/>
    </xf>
    <xf numFmtId="14" fontId="46" fillId="7" borderId="0" xfId="2" applyNumberFormat="1" applyFont="1" applyFill="1" applyAlignment="1" applyProtection="1">
      <alignment horizontal="center"/>
      <protection locked="0"/>
    </xf>
    <xf numFmtId="0" fontId="17" fillId="7" borderId="0" xfId="2" applyFont="1" applyFill="1" applyAlignment="1">
      <alignment horizontal="left"/>
    </xf>
    <xf numFmtId="0" fontId="17" fillId="7" borderId="1" xfId="2" applyFont="1" applyFill="1" applyBorder="1" applyAlignment="1">
      <alignment horizontal="left"/>
    </xf>
    <xf numFmtId="0" fontId="55" fillId="7" borderId="0" xfId="2" applyFont="1" applyFill="1" applyAlignment="1">
      <alignment horizontal="left"/>
    </xf>
    <xf numFmtId="0" fontId="14" fillId="7" borderId="26" xfId="0" applyFont="1" applyFill="1" applyBorder="1" applyAlignment="1">
      <alignment horizontal="left"/>
    </xf>
    <xf numFmtId="0" fontId="14" fillId="7" borderId="22" xfId="0" applyFont="1" applyFill="1" applyBorder="1" applyAlignment="1">
      <alignment horizontal="left"/>
    </xf>
    <xf numFmtId="14" fontId="12" fillId="4" borderId="0" xfId="0" applyNumberFormat="1" applyFont="1" applyFill="1" applyAlignment="1">
      <alignment horizontal="center"/>
    </xf>
    <xf numFmtId="0" fontId="12" fillId="4" borderId="0" xfId="0" applyFont="1" applyFill="1" applyAlignment="1">
      <alignment horizontal="center"/>
    </xf>
    <xf numFmtId="0" fontId="17" fillId="7" borderId="5" xfId="2" applyFont="1" applyFill="1" applyBorder="1" applyAlignment="1">
      <alignment horizontal="left"/>
    </xf>
    <xf numFmtId="0" fontId="8" fillId="7" borderId="7" xfId="0" applyFont="1" applyFill="1" applyBorder="1" applyAlignment="1">
      <alignment horizontal="center" wrapText="1"/>
    </xf>
    <xf numFmtId="0" fontId="8" fillId="7" borderId="3" xfId="0" applyFont="1" applyFill="1" applyBorder="1" applyAlignment="1">
      <alignment horizontal="center" wrapText="1"/>
    </xf>
    <xf numFmtId="0" fontId="8" fillId="7" borderId="10" xfId="0" applyFont="1" applyFill="1" applyBorder="1" applyAlignment="1">
      <alignment horizontal="center" wrapText="1"/>
    </xf>
    <xf numFmtId="0" fontId="8" fillId="7" borderId="17" xfId="0" applyFont="1" applyFill="1" applyBorder="1" applyAlignment="1">
      <alignment horizontal="center" wrapText="1"/>
    </xf>
    <xf numFmtId="0" fontId="8" fillId="7" borderId="0" xfId="0" applyFont="1" applyFill="1" applyAlignment="1">
      <alignment horizontal="center" wrapText="1"/>
    </xf>
    <xf numFmtId="0" fontId="8" fillId="7" borderId="18" xfId="0" applyFont="1" applyFill="1" applyBorder="1" applyAlignment="1">
      <alignment horizontal="center" wrapText="1"/>
    </xf>
    <xf numFmtId="0" fontId="8" fillId="7" borderId="6" xfId="0" applyFont="1" applyFill="1" applyBorder="1" applyAlignment="1">
      <alignment horizontal="center" wrapText="1"/>
    </xf>
    <xf numFmtId="0" fontId="8" fillId="7" borderId="8" xfId="0" applyFont="1" applyFill="1" applyBorder="1" applyAlignment="1">
      <alignment horizontal="center" wrapText="1"/>
    </xf>
    <xf numFmtId="0" fontId="8" fillId="7" borderId="9" xfId="0" applyFont="1" applyFill="1" applyBorder="1" applyAlignment="1">
      <alignment horizontal="center" wrapText="1"/>
    </xf>
    <xf numFmtId="14" fontId="30" fillId="4" borderId="13" xfId="0" applyNumberFormat="1" applyFont="1" applyFill="1" applyBorder="1" applyAlignment="1">
      <alignment horizontal="center"/>
    </xf>
    <xf numFmtId="14" fontId="30" fillId="4" borderId="12" xfId="0" applyNumberFormat="1" applyFont="1" applyFill="1" applyBorder="1" applyAlignment="1">
      <alignment horizontal="center"/>
    </xf>
    <xf numFmtId="14" fontId="30" fillId="4" borderId="0" xfId="0" applyNumberFormat="1" applyFont="1" applyFill="1" applyAlignment="1">
      <alignment horizontal="center"/>
    </xf>
    <xf numFmtId="0" fontId="16" fillId="0" borderId="0" xfId="2" applyFont="1" applyAlignment="1">
      <alignment horizontal="center" wrapText="1"/>
    </xf>
    <xf numFmtId="0" fontId="26" fillId="7" borderId="17" xfId="2" applyFont="1" applyFill="1" applyBorder="1" applyAlignment="1">
      <alignment horizontal="left"/>
    </xf>
    <xf numFmtId="0" fontId="26" fillId="7" borderId="0" xfId="2" applyFont="1" applyFill="1" applyAlignment="1">
      <alignment horizontal="left"/>
    </xf>
    <xf numFmtId="0" fontId="40" fillId="7" borderId="1" xfId="2" applyFont="1" applyFill="1" applyBorder="1" applyAlignment="1">
      <alignment horizontal="left" wrapText="1"/>
    </xf>
    <xf numFmtId="0" fontId="40" fillId="7" borderId="1" xfId="2" applyFont="1" applyFill="1" applyBorder="1" applyAlignment="1">
      <alignment horizontal="left"/>
    </xf>
    <xf numFmtId="0" fontId="17" fillId="7" borderId="1" xfId="2" applyFont="1" applyFill="1" applyBorder="1" applyAlignment="1">
      <alignment horizontal="left" wrapText="1"/>
    </xf>
    <xf numFmtId="0" fontId="17" fillId="8" borderId="5" xfId="2" applyFont="1" applyFill="1" applyBorder="1" applyAlignment="1" applyProtection="1">
      <alignment horizontal="center"/>
      <protection locked="0"/>
    </xf>
    <xf numFmtId="0" fontId="17" fillId="8" borderId="2" xfId="2" applyFont="1" applyFill="1" applyBorder="1" applyAlignment="1" applyProtection="1">
      <alignment horizontal="center"/>
      <protection locked="0"/>
    </xf>
    <xf numFmtId="0" fontId="17" fillId="8" borderId="4" xfId="2" applyFont="1" applyFill="1" applyBorder="1" applyAlignment="1" applyProtection="1">
      <alignment horizontal="center"/>
      <protection locked="0"/>
    </xf>
    <xf numFmtId="49" fontId="12" fillId="8" borderId="7" xfId="2" applyNumberFormat="1" applyFont="1" applyFill="1" applyBorder="1" applyAlignment="1" applyProtection="1">
      <alignment horizontal="center" vertical="top" wrapText="1"/>
      <protection locked="0"/>
    </xf>
    <xf numFmtId="49" fontId="12" fillId="8" borderId="3" xfId="2" applyNumberFormat="1" applyFont="1" applyFill="1" applyBorder="1" applyAlignment="1" applyProtection="1">
      <alignment horizontal="center" vertical="top" wrapText="1"/>
      <protection locked="0"/>
    </xf>
    <xf numFmtId="49" fontId="12" fillId="8" borderId="10" xfId="2" applyNumberFormat="1" applyFont="1" applyFill="1" applyBorder="1" applyAlignment="1" applyProtection="1">
      <alignment horizontal="center" vertical="top" wrapText="1"/>
      <protection locked="0"/>
    </xf>
    <xf numFmtId="49" fontId="12" fillId="8" borderId="17" xfId="2" applyNumberFormat="1" applyFont="1" applyFill="1" applyBorder="1" applyAlignment="1" applyProtection="1">
      <alignment horizontal="center" vertical="top" wrapText="1"/>
      <protection locked="0"/>
    </xf>
    <xf numFmtId="49" fontId="12" fillId="8" borderId="0" xfId="2" applyNumberFormat="1" applyFont="1" applyFill="1" applyAlignment="1" applyProtection="1">
      <alignment horizontal="center" vertical="top" wrapText="1"/>
      <protection locked="0"/>
    </xf>
    <xf numFmtId="49" fontId="12" fillId="8" borderId="18" xfId="2" applyNumberFormat="1" applyFont="1" applyFill="1" applyBorder="1" applyAlignment="1" applyProtection="1">
      <alignment horizontal="center" vertical="top" wrapText="1"/>
      <protection locked="0"/>
    </xf>
    <xf numFmtId="49" fontId="12" fillId="8" borderId="6" xfId="2" applyNumberFormat="1" applyFont="1" applyFill="1" applyBorder="1" applyAlignment="1" applyProtection="1">
      <alignment horizontal="center" vertical="top" wrapText="1"/>
      <protection locked="0"/>
    </xf>
    <xf numFmtId="49" fontId="12" fillId="8" borderId="8" xfId="2" applyNumberFormat="1" applyFont="1" applyFill="1" applyBorder="1" applyAlignment="1" applyProtection="1">
      <alignment horizontal="center" vertical="top" wrapText="1"/>
      <protection locked="0"/>
    </xf>
    <xf numFmtId="49" fontId="12" fillId="8" borderId="9" xfId="2" applyNumberFormat="1" applyFont="1" applyFill="1" applyBorder="1" applyAlignment="1" applyProtection="1">
      <alignment horizontal="center" vertical="top" wrapText="1"/>
      <protection locked="0"/>
    </xf>
    <xf numFmtId="0" fontId="8" fillId="7" borderId="5" xfId="0" applyFont="1" applyFill="1" applyBorder="1" applyAlignment="1">
      <alignment horizontal="center"/>
    </xf>
    <xf numFmtId="0" fontId="8" fillId="7" borderId="2" xfId="0" applyFont="1" applyFill="1" applyBorder="1" applyAlignment="1">
      <alignment horizontal="center"/>
    </xf>
    <xf numFmtId="0" fontId="8" fillId="7" borderId="4" xfId="0" applyFont="1" applyFill="1" applyBorder="1" applyAlignment="1">
      <alignment horizontal="center"/>
    </xf>
    <xf numFmtId="0" fontId="14" fillId="8" borderId="5" xfId="2" applyFont="1" applyFill="1" applyBorder="1" applyAlignment="1" applyProtection="1">
      <alignment horizontal="center"/>
      <protection locked="0"/>
    </xf>
    <xf numFmtId="0" fontId="14" fillId="8" borderId="4" xfId="2" applyFont="1" applyFill="1" applyBorder="1" applyAlignment="1" applyProtection="1">
      <alignment horizontal="center"/>
      <protection locked="0"/>
    </xf>
    <xf numFmtId="0" fontId="16" fillId="7" borderId="0" xfId="2" applyFont="1" applyFill="1" applyAlignment="1">
      <alignment horizontal="center"/>
    </xf>
    <xf numFmtId="0" fontId="12" fillId="7" borderId="17" xfId="0" applyFont="1" applyFill="1" applyBorder="1" applyAlignment="1">
      <alignment horizontal="center" wrapText="1"/>
    </xf>
    <xf numFmtId="0" fontId="12" fillId="7" borderId="0" xfId="0" applyFont="1" applyFill="1" applyAlignment="1">
      <alignment horizontal="center" wrapText="1"/>
    </xf>
    <xf numFmtId="0" fontId="12" fillId="7" borderId="18" xfId="0" applyFont="1" applyFill="1" applyBorder="1" applyAlignment="1">
      <alignment horizontal="center" wrapText="1"/>
    </xf>
    <xf numFmtId="0" fontId="17" fillId="7" borderId="22" xfId="0" applyFont="1" applyFill="1" applyBorder="1" applyAlignment="1">
      <alignment horizontal="center"/>
    </xf>
    <xf numFmtId="0" fontId="17" fillId="7" borderId="23" xfId="0" applyFont="1" applyFill="1" applyBorder="1" applyAlignment="1">
      <alignment horizontal="center"/>
    </xf>
    <xf numFmtId="0" fontId="12" fillId="7" borderId="7" xfId="0" applyFont="1" applyFill="1" applyBorder="1" applyAlignment="1">
      <alignment horizontal="center" wrapText="1"/>
    </xf>
    <xf numFmtId="0" fontId="12" fillId="7" borderId="3" xfId="0" applyFont="1" applyFill="1" applyBorder="1" applyAlignment="1">
      <alignment horizontal="center" wrapText="1"/>
    </xf>
    <xf numFmtId="0" fontId="12" fillId="7" borderId="10" xfId="0" applyFont="1" applyFill="1" applyBorder="1" applyAlignment="1">
      <alignment horizontal="center" wrapText="1"/>
    </xf>
    <xf numFmtId="0" fontId="12" fillId="7" borderId="6" xfId="0" applyFont="1" applyFill="1" applyBorder="1" applyAlignment="1">
      <alignment horizontal="center" wrapText="1"/>
    </xf>
    <xf numFmtId="0" fontId="12" fillId="7" borderId="8" xfId="0" applyFont="1" applyFill="1" applyBorder="1" applyAlignment="1">
      <alignment horizontal="center" wrapText="1"/>
    </xf>
    <xf numFmtId="0" fontId="12" fillId="7" borderId="9" xfId="0" applyFont="1" applyFill="1" applyBorder="1" applyAlignment="1">
      <alignment horizontal="center" wrapText="1"/>
    </xf>
    <xf numFmtId="0" fontId="27" fillId="7" borderId="17" xfId="2" applyFont="1" applyFill="1" applyBorder="1" applyAlignment="1">
      <alignment horizontal="center" vertical="center" wrapText="1"/>
    </xf>
    <xf numFmtId="0" fontId="27" fillId="7" borderId="0" xfId="2" applyFont="1" applyFill="1" applyAlignment="1">
      <alignment horizontal="center" vertical="center" wrapText="1"/>
    </xf>
    <xf numFmtId="0" fontId="27" fillId="7" borderId="18" xfId="2" applyFont="1" applyFill="1" applyBorder="1" applyAlignment="1">
      <alignment horizontal="center" vertical="center" wrapText="1"/>
    </xf>
    <xf numFmtId="0" fontId="33" fillId="7" borderId="29" xfId="0" applyFont="1" applyFill="1" applyBorder="1" applyAlignment="1">
      <alignment horizontal="center"/>
    </xf>
    <xf numFmtId="0" fontId="33" fillId="7" borderId="11" xfId="0" applyFont="1" applyFill="1" applyBorder="1" applyAlignment="1">
      <alignment horizontal="center"/>
    </xf>
    <xf numFmtId="0" fontId="10" fillId="7" borderId="17" xfId="0" applyFont="1" applyFill="1" applyBorder="1" applyAlignment="1">
      <alignment horizontal="center" wrapText="1"/>
    </xf>
    <xf numFmtId="0" fontId="10" fillId="7" borderId="0" xfId="0" applyFont="1" applyFill="1" applyAlignment="1">
      <alignment horizontal="center" wrapText="1"/>
    </xf>
    <xf numFmtId="0" fontId="10" fillId="7" borderId="18" xfId="0" applyFont="1" applyFill="1" applyBorder="1" applyAlignment="1">
      <alignment horizontal="center" wrapText="1"/>
    </xf>
    <xf numFmtId="0" fontId="30" fillId="4" borderId="0" xfId="0" applyFont="1" applyFill="1" applyAlignment="1">
      <alignment horizontal="center"/>
    </xf>
    <xf numFmtId="0" fontId="8" fillId="7" borderId="7"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10" xfId="0" applyFont="1" applyFill="1" applyBorder="1" applyAlignment="1">
      <alignment horizontal="center" vertical="center"/>
    </xf>
    <xf numFmtId="0" fontId="15" fillId="7" borderId="17" xfId="0" applyFont="1" applyFill="1" applyBorder="1" applyAlignment="1">
      <alignment horizontal="center" wrapText="1"/>
    </xf>
    <xf numFmtId="0" fontId="15" fillId="7" borderId="0" xfId="0" applyFont="1" applyFill="1" applyAlignment="1">
      <alignment horizontal="center" wrapText="1"/>
    </xf>
    <xf numFmtId="0" fontId="15" fillId="7" borderId="18" xfId="0" applyFont="1" applyFill="1" applyBorder="1" applyAlignment="1">
      <alignment horizontal="center" wrapText="1"/>
    </xf>
    <xf numFmtId="0" fontId="10" fillId="7" borderId="17" xfId="0" applyFont="1" applyFill="1" applyBorder="1" applyAlignment="1">
      <alignment horizontal="center"/>
    </xf>
    <xf numFmtId="0" fontId="10" fillId="7" borderId="0" xfId="0" applyFont="1" applyFill="1" applyAlignment="1">
      <alignment horizontal="center"/>
    </xf>
    <xf numFmtId="0" fontId="10" fillId="7" borderId="18" xfId="0" applyFont="1" applyFill="1" applyBorder="1" applyAlignment="1">
      <alignment horizontal="center"/>
    </xf>
    <xf numFmtId="0" fontId="12" fillId="7" borderId="17" xfId="0" applyFont="1" applyFill="1" applyBorder="1" applyAlignment="1">
      <alignment horizontal="left" wrapText="1"/>
    </xf>
    <xf numFmtId="0" fontId="12" fillId="7" borderId="0" xfId="0" applyFont="1" applyFill="1" applyAlignment="1">
      <alignment horizontal="left" wrapText="1"/>
    </xf>
    <xf numFmtId="0" fontId="12" fillId="7" borderId="18" xfId="0" applyFont="1" applyFill="1" applyBorder="1" applyAlignment="1">
      <alignment horizontal="left" wrapText="1"/>
    </xf>
    <xf numFmtId="0" fontId="8" fillId="7" borderId="0" xfId="0" applyFont="1" applyFill="1" applyAlignment="1">
      <alignment horizontal="left" vertical="top" wrapText="1"/>
    </xf>
  </cellXfs>
  <cellStyles count="23">
    <cellStyle name="1000-sep (2 dec) 2" xfId="3" xr:uid="{00000000-0005-0000-0000-000000000000}"/>
    <cellStyle name="1000-sep (2 dec) 2 2" xfId="14" xr:uid="{D1808234-1F61-4FBA-A132-2620A1412416}"/>
    <cellStyle name="1000-sep (2 dec) 2 2 2" xfId="22" xr:uid="{3AD6B437-9397-40F7-BA08-AD99373ADB6D}"/>
    <cellStyle name="Comma" xfId="1" builtinId="3"/>
    <cellStyle name="Currency" xfId="13" builtinId="4"/>
    <cellStyle name="Hyperlink" xfId="12" builtinId="8"/>
    <cellStyle name="Normal" xfId="0" builtinId="0"/>
    <cellStyle name="Normal 2" xfId="2" xr:uid="{00000000-0005-0000-0000-000004000000}"/>
    <cellStyle name="Normal 2 2" xfId="4" xr:uid="{00000000-0005-0000-0000-000005000000}"/>
    <cellStyle name="Normal 2 2 2" xfId="15" xr:uid="{18F80DC8-939B-4A87-9587-7E2B6BD0AAA3}"/>
    <cellStyle name="Normal 2 3" xfId="9" xr:uid="{00000000-0005-0000-0000-000006000000}"/>
    <cellStyle name="Normal 2 3 2" xfId="20" xr:uid="{A5C4AF0E-FF7E-4726-B14B-39623CFFA970}"/>
    <cellStyle name="Normal 2 4" xfId="10" xr:uid="{00000000-0005-0000-0000-000007000000}"/>
    <cellStyle name="Normal 2 4 2" xfId="21" xr:uid="{AF33E7F0-4EEC-4589-99B6-8430DB5C7EB1}"/>
    <cellStyle name="Normal 3" xfId="6" xr:uid="{00000000-0005-0000-0000-000008000000}"/>
    <cellStyle name="Normal 3 2" xfId="17" xr:uid="{B050EA13-B2A9-4B4B-886C-14C4529C499F}"/>
    <cellStyle name="Normal 4" xfId="5" xr:uid="{00000000-0005-0000-0000-000009000000}"/>
    <cellStyle name="Normal 4 2" xfId="16" xr:uid="{2DDCEF48-20AC-475E-BEB4-E8CF886EEFBD}"/>
    <cellStyle name="Normal 5" xfId="7" xr:uid="{00000000-0005-0000-0000-00000A000000}"/>
    <cellStyle name="Normal 5 2" xfId="18" xr:uid="{2E8EEFB6-A412-42E4-A826-3D37BCE8A531}"/>
    <cellStyle name="Normal 6" xfId="8" xr:uid="{00000000-0005-0000-0000-00000B000000}"/>
    <cellStyle name="Normal 6 2" xfId="19" xr:uid="{047C22A3-4D3E-45BD-85BE-EB935A25837E}"/>
    <cellStyle name="Valuta 2" xfId="11" xr:uid="{00000000-0005-0000-0000-00000D000000}"/>
  </cellStyles>
  <dxfs count="22">
    <dxf>
      <fill>
        <patternFill>
          <bgColor rgb="FFF6F6F8"/>
        </patternFill>
      </fill>
    </dxf>
    <dxf>
      <fill>
        <patternFill>
          <bgColor rgb="FFF6F6F8"/>
        </patternFill>
      </fill>
    </dxf>
    <dxf>
      <fill>
        <patternFill>
          <bgColor rgb="FFABABAB"/>
        </patternFill>
      </fill>
    </dxf>
    <dxf>
      <font>
        <color rgb="FF000C2E"/>
      </font>
      <numFmt numFmtId="0" formatCode="General"/>
      <fill>
        <patternFill patternType="solid">
          <bgColor rgb="FFABABAB"/>
        </patternFill>
      </fill>
      <border>
        <left style="thin">
          <color auto="1"/>
        </left>
        <right style="thin">
          <color auto="1"/>
        </right>
        <top style="thin">
          <color auto="1"/>
        </top>
        <bottom style="thin">
          <color auto="1"/>
        </bottom>
      </border>
    </dxf>
    <dxf>
      <fill>
        <patternFill>
          <bgColor rgb="FFABABAB"/>
        </patternFill>
      </fill>
      <border>
        <left style="thin">
          <color auto="1"/>
        </left>
        <right style="thin">
          <color auto="1"/>
        </right>
        <top style="thin">
          <color auto="1"/>
        </top>
        <bottom style="thin">
          <color auto="1"/>
        </bottom>
      </border>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ill>
        <patternFill>
          <bgColor rgb="FFCBE9FC"/>
        </patternFill>
      </fill>
    </dxf>
    <dxf>
      <fill>
        <patternFill>
          <bgColor rgb="FFCBE9FC"/>
        </patternFill>
      </fill>
    </dxf>
    <dxf>
      <fill>
        <patternFill patternType="solid">
          <bgColor rgb="FFCBE9FC"/>
        </patternFill>
      </fill>
    </dxf>
    <dxf>
      <fill>
        <patternFill>
          <bgColor rgb="FFCBE9FC"/>
        </patternFill>
      </fill>
    </dxf>
    <dxf>
      <fill>
        <patternFill>
          <bgColor rgb="FFCBE9FC"/>
        </patternFill>
      </fill>
    </dxf>
    <dxf>
      <fill>
        <patternFill>
          <bgColor rgb="FF00B0F0"/>
        </patternFill>
      </fill>
    </dxf>
    <dxf>
      <fill>
        <patternFill>
          <bgColor rgb="FFCBE9FC"/>
        </patternFill>
      </fill>
    </dxf>
    <dxf>
      <border>
        <left style="thin">
          <color auto="1"/>
        </left>
        <right style="thin">
          <color auto="1"/>
        </right>
        <top style="thin">
          <color auto="1"/>
        </top>
        <bottom style="thin">
          <color auto="1"/>
        </bottom>
        <vertical/>
        <horizontal/>
      </border>
    </dxf>
    <dxf>
      <font>
        <color auto="1"/>
      </font>
      <border>
        <left style="thin">
          <color auto="1"/>
        </left>
        <right style="thin">
          <color auto="1"/>
        </right>
        <top style="thin">
          <color auto="1"/>
        </top>
        <bottom style="thin">
          <color auto="1"/>
        </bottom>
      </border>
    </dxf>
    <dxf>
      <fill>
        <patternFill>
          <bgColor rgb="FFCBE9FC"/>
        </patternFill>
      </fill>
    </dxf>
    <dxf>
      <font>
        <b val="0"/>
        <i val="0"/>
        <strike val="0"/>
        <condense val="0"/>
        <extend val="0"/>
        <outline val="0"/>
        <shadow val="0"/>
        <u val="none"/>
        <vertAlign val="baseline"/>
        <sz val="11"/>
        <color rgb="FF000C2E"/>
        <name val="KBH"/>
        <scheme val="none"/>
      </font>
      <numFmt numFmtId="19" formatCode="dd/mm/yyyy"/>
      <protection locked="1" hidden="0"/>
    </dxf>
    <dxf>
      <font>
        <b val="0"/>
        <i val="0"/>
        <strike val="0"/>
        <condense val="0"/>
        <extend val="0"/>
        <outline val="0"/>
        <shadow val="0"/>
        <u val="none"/>
        <vertAlign val="baseline"/>
        <sz val="11"/>
        <color rgb="FF000C2E"/>
        <name val="KBH"/>
        <scheme val="none"/>
      </font>
      <numFmt numFmtId="19" formatCode="dd/mm/yyyy"/>
      <protection locked="1" hidden="0"/>
    </dxf>
    <dxf>
      <font>
        <b val="0"/>
        <i val="0"/>
        <strike val="0"/>
        <condense val="0"/>
        <extend val="0"/>
        <outline val="0"/>
        <shadow val="0"/>
        <u val="none"/>
        <vertAlign val="baseline"/>
        <sz val="11"/>
        <color rgb="FF000C2E"/>
        <name val="KBH"/>
        <scheme val="none"/>
      </font>
      <protection locked="1" hidden="0"/>
    </dxf>
    <dxf>
      <font>
        <b val="0"/>
        <i val="0"/>
        <strike val="0"/>
        <condense val="0"/>
        <extend val="0"/>
        <outline val="0"/>
        <shadow val="0"/>
        <u val="none"/>
        <vertAlign val="baseline"/>
        <sz val="11"/>
        <color rgb="FF000C2E"/>
        <name val="KBH"/>
        <scheme val="none"/>
      </font>
      <protection locked="1" hidden="0"/>
    </dxf>
  </dxfs>
  <tableStyles count="0" defaultTableStyle="TableStyleMedium9" defaultPivotStyle="PivotStyleLight16"/>
  <colors>
    <mruColors>
      <color rgb="FFF6F6F8"/>
      <color rgb="FFABABAB"/>
      <color rgb="FFC9BFE1"/>
      <color rgb="FFFFE9E9"/>
      <color rgb="FF000C2E"/>
      <color rgb="FF606060"/>
      <color rgb="FF898989"/>
      <color rgb="FF7C4AFF"/>
      <color rgb="FFCBE9FC"/>
      <color rgb="FFBDE3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kksky.sharepoint.com/Documents%20and%20Settings/bv3e/Lokale%20indstillinger/Temporary%20Internet%20Files/Content.Outlook/N56BVI97/Barsel/Udvidet%20Terminsberegneren%20og%20regnemaskiner%20V%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rmins Beregner"/>
      <sheetName val="Div. Regnemaskiner"/>
      <sheetName val="Uge for Uge beregner"/>
    </sheetNames>
    <sheetDataSet>
      <sheetData sheetId="0"/>
      <sheetData sheetId="1" refreshError="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9550A06-1261-4C00-B490-C686244E25E8}" name="Table1" displayName="Table1" ref="K55:L60" totalsRowShown="0" headerRowDxfId="21" dataDxfId="20">
  <autoFilter ref="K55:L60" xr:uid="{E9550A06-1261-4C00-B490-C686244E25E8}"/>
  <tableColumns count="2">
    <tableColumn id="1" xr3:uid="{D147FB96-DE3A-4ACB-971D-0A88F9FDCA15}" name="Fra" dataDxfId="19">
      <calculatedColumnFormula>IF(E56="","",E56)</calculatedColumnFormula>
    </tableColumn>
    <tableColumn id="2" xr3:uid="{D9829783-073D-4CCC-BAF7-A0E66D247DA3}" name="Til" dataDxfId="18">
      <calculatedColumnFormula>IF(G30="","",G30)</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tabColor rgb="FFABABAB"/>
  </sheetPr>
  <dimension ref="A1:BL298"/>
  <sheetViews>
    <sheetView showGridLines="0" tabSelected="1" zoomScaleNormal="100" workbookViewId="0">
      <selection activeCell="A201" sqref="A201:G203"/>
    </sheetView>
  </sheetViews>
  <sheetFormatPr defaultColWidth="8.85546875" defaultRowHeight="15" x14ac:dyDescent="0.25"/>
  <cols>
    <col min="1" max="1" width="16.140625" style="8" customWidth="1"/>
    <col min="2" max="2" width="17.140625" style="9" customWidth="1"/>
    <col min="3" max="3" width="13" style="9" customWidth="1"/>
    <col min="4" max="4" width="13.5703125" style="9" customWidth="1"/>
    <col min="5" max="5" width="39" style="9" customWidth="1"/>
    <col min="6" max="6" width="21.5703125" style="9" customWidth="1"/>
    <col min="7" max="7" width="14.5703125" style="10" customWidth="1"/>
    <col min="8" max="8" width="23.5703125" style="13" customWidth="1"/>
    <col min="9" max="9" width="21" style="281" hidden="1" customWidth="1"/>
    <col min="10" max="10" width="57.42578125" style="9" hidden="1" customWidth="1"/>
    <col min="11" max="11" width="42.42578125" style="9" hidden="1" customWidth="1"/>
    <col min="12" max="12" width="29.42578125" style="9" hidden="1" customWidth="1"/>
    <col min="13" max="13" width="25.42578125" style="9" hidden="1" customWidth="1"/>
    <col min="14" max="14" width="35.42578125" style="9" hidden="1" customWidth="1"/>
    <col min="15" max="15" width="13.42578125" style="9" hidden="1" customWidth="1"/>
    <col min="16" max="16" width="20.140625" style="9" hidden="1" customWidth="1"/>
    <col min="17" max="17" width="29.42578125" style="9" hidden="1" customWidth="1"/>
    <col min="18" max="18" width="13.42578125" style="9" hidden="1" customWidth="1"/>
    <col min="19" max="19" width="36" style="9" hidden="1" customWidth="1"/>
    <col min="20" max="20" width="45.85546875" style="9" hidden="1" customWidth="1"/>
    <col min="21" max="21" width="38.5703125" style="9" hidden="1" customWidth="1"/>
    <col min="22" max="22" width="22.5703125" style="9" hidden="1" customWidth="1"/>
    <col min="23" max="23" width="35.42578125" style="9" hidden="1" customWidth="1"/>
    <col min="24" max="24" width="53.5703125" style="9" hidden="1" customWidth="1"/>
    <col min="25" max="25" width="36.5703125" style="9" hidden="1" customWidth="1"/>
    <col min="26" max="26" width="49.42578125" style="9" hidden="1" customWidth="1"/>
    <col min="27" max="27" width="47.42578125" style="9" hidden="1" customWidth="1"/>
    <col min="28" max="28" width="80.140625" style="9" hidden="1" customWidth="1"/>
    <col min="29" max="29" width="43.5703125" style="9" hidden="1" customWidth="1"/>
    <col min="30" max="30" width="25.5703125" style="9" hidden="1" customWidth="1"/>
    <col min="31" max="31" width="17.42578125" style="9" hidden="1" customWidth="1"/>
    <col min="32" max="32" width="28.85546875" style="9" hidden="1" customWidth="1"/>
    <col min="33" max="33" width="20.5703125" style="9" hidden="1" customWidth="1"/>
    <col min="34" max="34" width="25.85546875" style="9" hidden="1" customWidth="1"/>
    <col min="35" max="35" width="18.140625" style="9" hidden="1" customWidth="1"/>
    <col min="36" max="36" width="56.140625" style="9" hidden="1" customWidth="1"/>
    <col min="37" max="37" width="50.85546875" style="9" hidden="1" customWidth="1"/>
    <col min="38" max="64" width="13.42578125" style="9" hidden="1" customWidth="1"/>
    <col min="65" max="93" width="13.42578125" style="9" customWidth="1"/>
    <col min="94" max="16384" width="8.85546875" style="9"/>
  </cols>
  <sheetData>
    <row r="1" spans="1:38" ht="18.75" x14ac:dyDescent="0.3">
      <c r="A1" s="284" t="s">
        <v>0</v>
      </c>
      <c r="B1" s="285"/>
      <c r="C1" s="285"/>
      <c r="D1" s="285"/>
      <c r="E1" s="285"/>
      <c r="F1" s="285"/>
      <c r="G1" s="286"/>
      <c r="H1" s="11"/>
      <c r="I1" s="12"/>
      <c r="J1" s="12"/>
      <c r="O1" s="12"/>
      <c r="P1" s="12"/>
      <c r="Q1" s="12"/>
      <c r="R1" s="12"/>
      <c r="S1" s="12"/>
      <c r="T1" s="12"/>
      <c r="U1" s="12"/>
      <c r="V1" s="12"/>
      <c r="W1" s="12"/>
      <c r="X1" s="12"/>
      <c r="Y1" s="12"/>
      <c r="Z1" s="12"/>
      <c r="AA1" s="12"/>
      <c r="AB1" s="12"/>
      <c r="AC1" s="12"/>
      <c r="AD1" s="12"/>
      <c r="AE1" s="12"/>
      <c r="AF1" s="12"/>
      <c r="AG1" s="12"/>
      <c r="AH1" s="12"/>
      <c r="AI1" s="12"/>
      <c r="AJ1" s="12"/>
      <c r="AK1" s="12"/>
      <c r="AL1" s="12"/>
    </row>
    <row r="2" spans="1:38" ht="15.75" x14ac:dyDescent="0.25">
      <c r="A2" s="298" t="s">
        <v>1</v>
      </c>
      <c r="B2" s="299"/>
      <c r="C2" s="299"/>
      <c r="D2" s="299"/>
      <c r="E2" s="299"/>
      <c r="F2" s="299"/>
      <c r="G2" s="300"/>
      <c r="H2" s="11"/>
      <c r="K2" s="14" t="s">
        <v>2</v>
      </c>
      <c r="L2" s="15">
        <f>G8/7.4</f>
        <v>133.91891891891891</v>
      </c>
      <c r="O2" s="12"/>
      <c r="P2" s="12"/>
      <c r="Q2" s="12"/>
      <c r="R2" s="12"/>
      <c r="S2" s="12"/>
      <c r="T2" s="12"/>
      <c r="U2" s="12"/>
      <c r="V2" s="12"/>
      <c r="W2" s="12"/>
      <c r="X2" s="12"/>
      <c r="Y2" s="12"/>
      <c r="Z2" s="12"/>
      <c r="AA2" s="12"/>
      <c r="AB2" s="12"/>
      <c r="AC2" s="12"/>
      <c r="AD2" s="12"/>
      <c r="AE2" s="12"/>
      <c r="AF2" s="12"/>
      <c r="AG2" s="12"/>
      <c r="AH2" s="12"/>
      <c r="AI2" s="12"/>
      <c r="AJ2" s="12"/>
      <c r="AK2" s="12"/>
      <c r="AL2" s="12"/>
    </row>
    <row r="3" spans="1:38" ht="16.5" customHeight="1" x14ac:dyDescent="0.25">
      <c r="A3" s="306" t="s">
        <v>3</v>
      </c>
      <c r="B3" s="307"/>
      <c r="C3" s="307"/>
      <c r="D3" s="307"/>
      <c r="E3" s="307"/>
      <c r="F3" s="307"/>
      <c r="G3" s="307"/>
      <c r="H3" s="212"/>
      <c r="K3" s="16" t="s">
        <v>4</v>
      </c>
      <c r="L3" s="17">
        <f>VLOOKUP(BarselsfondenTilskud!B8,Dagpengesatser!A1:C52,3,FALSE)</f>
        <v>21471</v>
      </c>
      <c r="O3" s="12"/>
      <c r="P3" s="12"/>
      <c r="Q3" s="12"/>
      <c r="R3" s="12"/>
      <c r="S3" s="12"/>
      <c r="T3" s="12"/>
      <c r="U3" s="12"/>
      <c r="V3" s="12"/>
      <c r="W3" s="12"/>
      <c r="X3" s="12"/>
      <c r="Y3" s="12"/>
      <c r="Z3" s="12"/>
      <c r="AA3" s="12"/>
      <c r="AB3" s="12"/>
      <c r="AC3" s="12"/>
      <c r="AD3" s="12"/>
      <c r="AE3" s="12"/>
      <c r="AF3" s="12"/>
      <c r="AG3" s="12"/>
      <c r="AH3" s="12"/>
      <c r="AI3" s="12"/>
      <c r="AJ3" s="12"/>
      <c r="AK3" s="12"/>
      <c r="AL3" s="12"/>
    </row>
    <row r="4" spans="1:38" ht="16.5" customHeight="1" x14ac:dyDescent="0.25">
      <c r="A4" s="18"/>
      <c r="B4" s="19"/>
      <c r="C4" s="19"/>
      <c r="D4" s="19"/>
      <c r="E4" s="19"/>
      <c r="F4" s="19"/>
      <c r="G4" s="215"/>
      <c r="H4" s="11"/>
      <c r="K4" s="20"/>
      <c r="L4" s="21"/>
      <c r="O4" s="12"/>
      <c r="P4" s="12"/>
      <c r="Q4" s="12"/>
      <c r="R4" s="12"/>
      <c r="S4" s="12"/>
      <c r="T4" s="12"/>
      <c r="U4" s="12"/>
      <c r="V4" s="12"/>
      <c r="W4" s="12"/>
      <c r="X4" s="12"/>
      <c r="Y4" s="12"/>
      <c r="Z4" s="12"/>
      <c r="AA4" s="12"/>
      <c r="AB4" s="12"/>
      <c r="AC4" s="12"/>
      <c r="AD4" s="12"/>
      <c r="AE4" s="12"/>
      <c r="AF4" s="12"/>
      <c r="AG4" s="12"/>
      <c r="AH4" s="12"/>
      <c r="AI4" s="12"/>
      <c r="AJ4" s="12"/>
      <c r="AK4" s="12"/>
      <c r="AL4" s="12"/>
    </row>
    <row r="5" spans="1:38" ht="23.45" customHeight="1" x14ac:dyDescent="0.25">
      <c r="A5" s="412" t="s">
        <v>5</v>
      </c>
      <c r="B5" s="413"/>
      <c r="C5" s="413"/>
      <c r="D5" s="413"/>
      <c r="E5" s="413"/>
      <c r="F5" s="413"/>
      <c r="G5" s="414"/>
      <c r="H5" s="11"/>
      <c r="K5" s="22"/>
      <c r="L5" s="23" t="s">
        <v>6</v>
      </c>
      <c r="O5" s="12"/>
      <c r="P5" s="12"/>
      <c r="Q5" s="12"/>
      <c r="R5" s="12"/>
      <c r="S5" s="12"/>
      <c r="T5" s="12"/>
      <c r="U5" s="12"/>
      <c r="V5" s="12"/>
      <c r="W5" s="12"/>
      <c r="X5" s="12"/>
      <c r="Y5" s="12"/>
      <c r="Z5" s="12"/>
      <c r="AA5" s="12"/>
      <c r="AB5" s="12"/>
      <c r="AC5" s="12"/>
      <c r="AD5" s="12"/>
      <c r="AE5" s="12"/>
      <c r="AF5" s="12"/>
      <c r="AG5" s="12"/>
      <c r="AH5" s="12"/>
      <c r="AI5" s="12"/>
      <c r="AJ5" s="12"/>
      <c r="AK5" s="12"/>
      <c r="AL5" s="12"/>
    </row>
    <row r="6" spans="1:38" x14ac:dyDescent="0.25">
      <c r="A6" s="24"/>
      <c r="B6" s="11"/>
      <c r="C6" s="11"/>
      <c r="D6" s="11"/>
      <c r="E6" s="11"/>
      <c r="F6" s="11"/>
      <c r="G6" s="213"/>
      <c r="H6" s="11"/>
      <c r="I6" s="12"/>
      <c r="J6" s="12"/>
      <c r="K6" s="26"/>
      <c r="L6" s="12" t="s">
        <v>7</v>
      </c>
      <c r="O6" s="12"/>
      <c r="P6" s="12"/>
      <c r="Q6" s="12"/>
      <c r="R6" s="12"/>
      <c r="S6" s="12"/>
      <c r="T6" s="12"/>
      <c r="U6" s="12"/>
      <c r="V6" s="12"/>
      <c r="W6" s="12"/>
      <c r="X6" s="12"/>
      <c r="Y6" s="12"/>
      <c r="Z6" s="12"/>
      <c r="AA6" s="12"/>
      <c r="AB6" s="12"/>
      <c r="AC6" s="12"/>
      <c r="AD6" s="12"/>
      <c r="AE6" s="12"/>
      <c r="AF6" s="12"/>
      <c r="AG6" s="12"/>
      <c r="AH6" s="12"/>
      <c r="AI6" s="12"/>
      <c r="AJ6" s="12"/>
      <c r="AK6" s="12"/>
      <c r="AL6" s="12"/>
    </row>
    <row r="7" spans="1:38" x14ac:dyDescent="0.25">
      <c r="A7" s="27"/>
      <c r="B7" s="11"/>
      <c r="C7" s="11"/>
      <c r="D7" s="11"/>
      <c r="E7" s="11"/>
      <c r="F7" s="11"/>
      <c r="G7" s="213"/>
      <c r="H7" s="11"/>
      <c r="I7" s="12"/>
      <c r="J7" s="12"/>
      <c r="K7" s="28" t="s">
        <v>8</v>
      </c>
      <c r="L7" s="12" t="s">
        <v>9</v>
      </c>
      <c r="O7" s="12"/>
      <c r="P7" s="12"/>
      <c r="Q7" s="12"/>
      <c r="R7" s="12"/>
      <c r="S7" s="12"/>
      <c r="T7" s="12"/>
      <c r="U7" s="12"/>
      <c r="V7" s="12"/>
      <c r="W7" s="12"/>
      <c r="X7" s="12"/>
      <c r="Y7" s="12"/>
      <c r="Z7" s="12"/>
      <c r="AA7" s="12"/>
      <c r="AB7" s="12"/>
      <c r="AC7" s="12"/>
      <c r="AD7" s="12"/>
      <c r="AE7" s="12"/>
      <c r="AF7" s="12"/>
      <c r="AG7" s="12"/>
      <c r="AH7" s="12"/>
      <c r="AI7" s="12"/>
      <c r="AJ7" s="12"/>
      <c r="AK7" s="12"/>
      <c r="AL7" s="12"/>
    </row>
    <row r="8" spans="1:38" ht="21" customHeight="1" x14ac:dyDescent="0.3">
      <c r="A8" s="29" t="s">
        <v>10</v>
      </c>
      <c r="B8" s="5">
        <v>2025</v>
      </c>
      <c r="C8" s="30"/>
      <c r="D8" s="13"/>
      <c r="E8" s="31"/>
      <c r="F8" s="31" t="s">
        <v>11</v>
      </c>
      <c r="G8" s="214">
        <f>VLOOKUP(B8,Dagpengesatser!A1:B52,2,FALSE)</f>
        <v>991</v>
      </c>
      <c r="H8" s="11"/>
      <c r="I8" s="32"/>
      <c r="J8" s="32"/>
      <c r="K8" s="11"/>
      <c r="L8" s="12" t="s">
        <v>12</v>
      </c>
      <c r="N8" s="12"/>
      <c r="O8" s="32"/>
      <c r="P8" s="32"/>
      <c r="Q8" s="32"/>
      <c r="R8" s="32"/>
      <c r="S8" s="12"/>
      <c r="T8" s="32"/>
      <c r="U8" s="32"/>
      <c r="V8" s="32"/>
      <c r="W8" s="32"/>
      <c r="X8" s="32"/>
      <c r="Y8" s="32"/>
      <c r="Z8" s="32"/>
      <c r="AA8" s="32"/>
      <c r="AB8" s="12"/>
      <c r="AC8" s="12"/>
      <c r="AD8" s="12"/>
      <c r="AE8" s="12"/>
      <c r="AF8" s="12"/>
      <c r="AG8" s="12"/>
      <c r="AH8" s="12"/>
      <c r="AI8" s="12"/>
      <c r="AJ8" s="12"/>
      <c r="AK8" s="12"/>
      <c r="AL8" s="12"/>
    </row>
    <row r="9" spans="1:38" ht="21" customHeight="1" x14ac:dyDescent="0.25">
      <c r="A9" s="24"/>
      <c r="B9" s="11"/>
      <c r="C9" s="11"/>
      <c r="D9" s="13"/>
      <c r="E9" s="13"/>
      <c r="F9" s="11"/>
      <c r="G9" s="213"/>
      <c r="H9" s="11"/>
      <c r="I9" s="32"/>
      <c r="J9" s="32"/>
      <c r="K9" s="33"/>
      <c r="L9" s="9" t="s">
        <v>13</v>
      </c>
      <c r="N9" s="12"/>
      <c r="O9" s="32"/>
      <c r="P9" s="32"/>
      <c r="Q9" s="32"/>
      <c r="R9" s="32"/>
      <c r="S9" s="12"/>
      <c r="T9" s="32"/>
      <c r="U9" s="32"/>
      <c r="V9" s="32"/>
      <c r="W9" s="32"/>
      <c r="X9" s="32"/>
      <c r="Y9" s="32"/>
      <c r="Z9" s="32"/>
      <c r="AA9" s="32"/>
      <c r="AB9" s="12"/>
      <c r="AC9" s="12"/>
      <c r="AD9" s="12"/>
      <c r="AE9" s="12"/>
      <c r="AF9" s="12"/>
      <c r="AG9" s="12"/>
      <c r="AH9" s="12"/>
      <c r="AI9" s="12"/>
      <c r="AJ9" s="12"/>
      <c r="AK9" s="12"/>
      <c r="AL9" s="12"/>
    </row>
    <row r="10" spans="1:38" ht="15.75" customHeight="1" x14ac:dyDescent="0.25">
      <c r="A10" s="34"/>
      <c r="B10" s="11"/>
      <c r="C10" s="11"/>
      <c r="D10" s="400"/>
      <c r="E10" s="400"/>
      <c r="F10" s="11"/>
      <c r="G10" s="25"/>
      <c r="H10" s="11"/>
      <c r="I10" s="32"/>
      <c r="J10" s="32"/>
      <c r="K10" s="36"/>
      <c r="L10" s="9" t="s">
        <v>14</v>
      </c>
      <c r="N10" s="12"/>
      <c r="O10" s="32"/>
      <c r="P10" s="32"/>
      <c r="Q10" s="32"/>
      <c r="R10" s="32"/>
      <c r="S10" s="12"/>
      <c r="T10" s="32"/>
      <c r="U10" s="32"/>
      <c r="V10" s="32"/>
      <c r="W10" s="32"/>
      <c r="X10" s="32"/>
      <c r="Y10" s="32"/>
      <c r="Z10" s="32"/>
      <c r="AA10" s="32"/>
      <c r="AB10" s="12"/>
      <c r="AC10" s="12"/>
      <c r="AD10" s="12"/>
      <c r="AE10" s="12"/>
      <c r="AF10" s="12"/>
      <c r="AG10" s="12"/>
      <c r="AH10" s="12"/>
      <c r="AI10" s="12"/>
      <c r="AJ10" s="12"/>
      <c r="AK10" s="12"/>
      <c r="AL10" s="12"/>
    </row>
    <row r="11" spans="1:38" ht="15.75" customHeight="1" x14ac:dyDescent="0.25">
      <c r="A11" s="378" t="s">
        <v>15</v>
      </c>
      <c r="B11" s="379"/>
      <c r="C11" s="379"/>
      <c r="D11" s="35"/>
      <c r="E11" s="35"/>
      <c r="F11" s="11"/>
      <c r="G11" s="25"/>
      <c r="H11" s="11"/>
      <c r="I11" s="32"/>
      <c r="J11" s="32"/>
      <c r="N11" s="12"/>
      <c r="O11" s="32"/>
      <c r="P11" s="32"/>
      <c r="Q11" s="32"/>
      <c r="R11" s="32"/>
      <c r="S11" s="12"/>
      <c r="T11" s="32"/>
      <c r="U11" s="32"/>
      <c r="V11" s="32"/>
      <c r="W11" s="32"/>
      <c r="X11" s="32"/>
      <c r="Y11" s="32"/>
      <c r="Z11" s="32"/>
      <c r="AA11" s="32"/>
      <c r="AB11" s="12"/>
      <c r="AC11" s="12"/>
      <c r="AD11" s="12"/>
      <c r="AE11" s="12"/>
      <c r="AF11" s="12"/>
      <c r="AG11" s="12"/>
      <c r="AH11" s="12"/>
      <c r="AI11" s="12"/>
      <c r="AJ11" s="12"/>
      <c r="AK11" s="12"/>
      <c r="AL11" s="12"/>
    </row>
    <row r="12" spans="1:38" ht="15.75" customHeight="1" x14ac:dyDescent="0.25">
      <c r="A12" s="24"/>
      <c r="B12" s="13"/>
      <c r="C12" s="13"/>
      <c r="D12" s="13"/>
      <c r="E12" s="37"/>
      <c r="F12" s="38"/>
      <c r="G12" s="39"/>
      <c r="H12" s="11"/>
      <c r="I12" s="32"/>
      <c r="J12" s="32"/>
      <c r="N12" s="12"/>
      <c r="O12" s="32"/>
      <c r="P12" s="32"/>
      <c r="Q12" s="32"/>
      <c r="R12" s="32"/>
      <c r="S12" s="12"/>
      <c r="T12" s="32"/>
      <c r="U12" s="32"/>
      <c r="V12" s="32"/>
      <c r="W12" s="32"/>
      <c r="X12" s="32"/>
      <c r="Y12" s="32"/>
      <c r="Z12" s="32"/>
      <c r="AA12" s="32"/>
      <c r="AB12" s="12"/>
      <c r="AC12" s="12"/>
      <c r="AD12" s="12"/>
      <c r="AE12" s="12"/>
      <c r="AF12" s="12"/>
      <c r="AG12" s="12"/>
      <c r="AH12" s="12"/>
      <c r="AI12" s="12"/>
      <c r="AJ12" s="12"/>
      <c r="AK12" s="12"/>
      <c r="AL12" s="12"/>
    </row>
    <row r="13" spans="1:38" ht="16.5" customHeight="1" x14ac:dyDescent="0.25">
      <c r="A13" s="358" t="s">
        <v>16</v>
      </c>
      <c r="B13" s="358"/>
      <c r="C13" s="358"/>
      <c r="D13" s="347"/>
      <c r="E13" s="348"/>
      <c r="F13" s="348"/>
      <c r="G13" s="349"/>
      <c r="H13" s="40"/>
      <c r="I13" s="32"/>
      <c r="J13" s="32"/>
      <c r="N13" s="12"/>
      <c r="O13" s="32"/>
      <c r="P13" s="32"/>
      <c r="Q13" s="32"/>
      <c r="R13" s="32"/>
      <c r="S13" s="12"/>
      <c r="T13" s="32"/>
      <c r="U13" s="32"/>
      <c r="V13" s="32"/>
      <c r="W13" s="32"/>
      <c r="X13" s="32"/>
      <c r="Y13" s="32"/>
      <c r="Z13" s="32"/>
      <c r="AA13" s="32"/>
      <c r="AB13" s="12"/>
      <c r="AC13" s="12"/>
      <c r="AD13" s="12"/>
      <c r="AE13" s="12"/>
      <c r="AF13" s="12"/>
      <c r="AG13" s="12"/>
      <c r="AH13" s="12"/>
      <c r="AI13" s="12"/>
      <c r="AJ13" s="12"/>
      <c r="AK13" s="12"/>
      <c r="AL13" s="12"/>
    </row>
    <row r="14" spans="1:38" ht="16.5" customHeight="1" x14ac:dyDescent="0.25">
      <c r="A14" s="358" t="s">
        <v>17</v>
      </c>
      <c r="B14" s="358"/>
      <c r="C14" s="358"/>
      <c r="D14" s="347"/>
      <c r="E14" s="348"/>
      <c r="F14" s="348"/>
      <c r="G14" s="349"/>
      <c r="H14" s="40"/>
      <c r="I14" s="32"/>
      <c r="J14" s="32"/>
      <c r="K14" s="249" t="s">
        <v>18</v>
      </c>
      <c r="L14" s="63"/>
      <c r="M14" s="57"/>
      <c r="N14" s="57"/>
      <c r="O14" s="32"/>
      <c r="P14" s="32"/>
      <c r="Q14" s="32"/>
      <c r="R14" s="32"/>
      <c r="S14" s="12"/>
      <c r="T14" s="32"/>
      <c r="U14" s="32"/>
      <c r="V14" s="32"/>
      <c r="W14" s="32"/>
      <c r="X14" s="32"/>
      <c r="Y14" s="32"/>
      <c r="Z14" s="32"/>
      <c r="AA14" s="32"/>
      <c r="AB14" s="12"/>
      <c r="AC14" s="12"/>
      <c r="AD14" s="12"/>
      <c r="AE14" s="12"/>
      <c r="AF14" s="12"/>
      <c r="AG14" s="12"/>
      <c r="AH14" s="12"/>
      <c r="AI14" s="12"/>
      <c r="AJ14" s="12"/>
      <c r="AK14" s="12"/>
      <c r="AL14" s="12"/>
    </row>
    <row r="15" spans="1:38" ht="16.5" customHeight="1" x14ac:dyDescent="0.25">
      <c r="A15" s="358" t="s">
        <v>19</v>
      </c>
      <c r="B15" s="358"/>
      <c r="C15" s="358"/>
      <c r="D15" s="350"/>
      <c r="E15" s="351"/>
      <c r="F15" s="351"/>
      <c r="G15" s="352"/>
      <c r="H15" s="40"/>
      <c r="I15" s="32"/>
      <c r="J15" s="32"/>
      <c r="K15" s="253" t="s">
        <v>20</v>
      </c>
      <c r="L15" s="63"/>
      <c r="M15" s="57"/>
      <c r="N15" s="57"/>
      <c r="O15" s="32"/>
      <c r="P15" s="32"/>
      <c r="Q15" s="32"/>
      <c r="R15" s="32"/>
      <c r="S15" s="12"/>
      <c r="T15" s="32"/>
      <c r="U15" s="32"/>
      <c r="V15" s="32"/>
      <c r="W15" s="32"/>
      <c r="X15" s="32"/>
      <c r="Y15" s="32"/>
      <c r="Z15" s="32"/>
      <c r="AA15" s="32"/>
      <c r="AB15" s="12"/>
      <c r="AC15" s="12"/>
      <c r="AD15" s="12"/>
      <c r="AE15" s="12"/>
      <c r="AF15" s="12"/>
      <c r="AG15" s="12"/>
      <c r="AH15" s="12"/>
      <c r="AI15" s="12"/>
      <c r="AJ15" s="12"/>
      <c r="AK15" s="12"/>
      <c r="AL15" s="12"/>
    </row>
    <row r="16" spans="1:38" ht="16.5" customHeight="1" x14ac:dyDescent="0.25">
      <c r="A16" s="31"/>
      <c r="B16" s="31"/>
      <c r="C16" s="31"/>
      <c r="D16" s="184"/>
      <c r="E16" s="184"/>
      <c r="F16" s="184"/>
      <c r="G16" s="185"/>
      <c r="H16" s="40"/>
      <c r="I16" s="32"/>
      <c r="J16" s="32"/>
      <c r="K16" s="250" t="s">
        <v>21</v>
      </c>
      <c r="L16" s="250" t="s">
        <v>22</v>
      </c>
      <c r="M16" s="57"/>
      <c r="N16" s="57"/>
      <c r="O16" s="32"/>
      <c r="P16" s="32"/>
      <c r="Q16" s="32"/>
      <c r="R16" s="32"/>
      <c r="S16" s="12"/>
      <c r="T16" s="32"/>
      <c r="U16" s="32"/>
      <c r="V16" s="32"/>
      <c r="W16" s="32"/>
      <c r="X16" s="32"/>
      <c r="Y16" s="32"/>
      <c r="Z16" s="32"/>
      <c r="AA16" s="32"/>
      <c r="AB16" s="12"/>
      <c r="AC16" s="12"/>
      <c r="AD16" s="12"/>
      <c r="AE16" s="12"/>
      <c r="AF16" s="12"/>
      <c r="AG16" s="12"/>
      <c r="AH16" s="12"/>
      <c r="AI16" s="12"/>
      <c r="AJ16" s="12"/>
      <c r="AK16" s="12"/>
      <c r="AL16" s="12"/>
    </row>
    <row r="17" spans="1:38" ht="16.5" customHeight="1" x14ac:dyDescent="0.25">
      <c r="A17" s="379" t="s">
        <v>23</v>
      </c>
      <c r="B17" s="379"/>
      <c r="C17" s="379"/>
      <c r="D17" s="186"/>
      <c r="E17" s="186"/>
      <c r="F17" s="186"/>
      <c r="G17" s="187"/>
      <c r="H17" s="40"/>
      <c r="I17" s="32"/>
      <c r="J17" s="32"/>
      <c r="K17" s="251">
        <f>DATE($B$8,1,1)</f>
        <v>45658</v>
      </c>
      <c r="L17" s="252">
        <f>EOMONTH(K17,11)</f>
        <v>46022</v>
      </c>
      <c r="M17" s="57"/>
      <c r="N17" s="57"/>
      <c r="O17" s="32"/>
      <c r="P17" s="32"/>
      <c r="Q17" s="32"/>
      <c r="R17" s="32"/>
      <c r="S17" s="12"/>
      <c r="T17" s="32"/>
      <c r="U17" s="32"/>
      <c r="V17" s="32"/>
      <c r="W17" s="32"/>
      <c r="X17" s="32"/>
      <c r="Y17" s="32"/>
      <c r="Z17" s="32"/>
      <c r="AA17" s="32"/>
      <c r="AB17" s="12"/>
      <c r="AC17" s="12"/>
      <c r="AD17" s="12"/>
      <c r="AE17" s="12"/>
      <c r="AF17" s="12"/>
      <c r="AG17" s="12"/>
      <c r="AH17" s="12"/>
      <c r="AI17" s="12"/>
      <c r="AJ17" s="12"/>
      <c r="AK17" s="12"/>
      <c r="AL17" s="12"/>
    </row>
    <row r="18" spans="1:38" ht="16.5" customHeight="1" x14ac:dyDescent="0.25">
      <c r="A18" s="358" t="s">
        <v>24</v>
      </c>
      <c r="B18" s="358"/>
      <c r="C18" s="358"/>
      <c r="D18" s="347"/>
      <c r="E18" s="348"/>
      <c r="F18" s="348"/>
      <c r="G18" s="349"/>
      <c r="H18" s="40"/>
      <c r="I18" s="32"/>
      <c r="J18" s="32"/>
      <c r="K18" s="32"/>
      <c r="M18" s="32"/>
      <c r="N18" s="12"/>
      <c r="O18" s="32"/>
      <c r="P18" s="32"/>
      <c r="Q18" s="32"/>
      <c r="R18" s="32"/>
      <c r="S18" s="12"/>
      <c r="T18" s="41"/>
      <c r="U18" s="32"/>
      <c r="V18" s="32"/>
      <c r="W18" s="32"/>
      <c r="X18" s="32"/>
      <c r="Y18" s="32"/>
      <c r="Z18" s="32"/>
      <c r="AA18" s="32"/>
      <c r="AB18" s="12"/>
      <c r="AC18" s="12"/>
      <c r="AD18" s="12"/>
      <c r="AE18" s="12"/>
      <c r="AF18" s="12"/>
      <c r="AG18" s="12"/>
      <c r="AH18" s="12"/>
      <c r="AI18" s="12"/>
      <c r="AJ18" s="12"/>
      <c r="AK18" s="12"/>
      <c r="AL18" s="12"/>
    </row>
    <row r="19" spans="1:38" ht="16.5" customHeight="1" x14ac:dyDescent="0.25">
      <c r="A19" s="380" t="s">
        <v>25</v>
      </c>
      <c r="B19" s="381"/>
      <c r="C19" s="381"/>
      <c r="D19" s="347"/>
      <c r="E19" s="348"/>
      <c r="F19" s="348"/>
      <c r="G19" s="349"/>
      <c r="H19" s="40"/>
      <c r="I19" s="32"/>
      <c r="J19" s="32"/>
      <c r="K19" s="32"/>
      <c r="L19" s="377"/>
      <c r="M19" s="377"/>
      <c r="N19" s="377"/>
      <c r="O19" s="32"/>
      <c r="P19" s="32"/>
      <c r="Q19" s="32"/>
      <c r="R19" s="32"/>
      <c r="S19" s="12"/>
      <c r="T19" s="32"/>
      <c r="U19" s="32"/>
      <c r="V19" s="32"/>
      <c r="W19" s="32"/>
      <c r="X19" s="32"/>
      <c r="Y19" s="32"/>
      <c r="Z19" s="32"/>
      <c r="AA19" s="32"/>
      <c r="AB19" s="12"/>
      <c r="AC19" s="12"/>
      <c r="AD19" s="12"/>
      <c r="AE19" s="12"/>
      <c r="AF19" s="12"/>
      <c r="AG19" s="12"/>
      <c r="AH19" s="12"/>
      <c r="AI19" s="12"/>
      <c r="AJ19" s="12"/>
      <c r="AK19" s="12"/>
      <c r="AL19" s="12"/>
    </row>
    <row r="20" spans="1:38" ht="16.5" customHeight="1" x14ac:dyDescent="0.25">
      <c r="A20" s="43"/>
      <c r="B20" s="31"/>
      <c r="C20" s="31"/>
      <c r="D20" s="44"/>
      <c r="E20" s="44"/>
      <c r="F20" s="44"/>
      <c r="G20" s="45"/>
      <c r="H20" s="40"/>
      <c r="I20" s="32"/>
      <c r="J20" s="32"/>
      <c r="K20" s="32"/>
      <c r="L20" s="377"/>
      <c r="M20" s="377"/>
      <c r="N20" s="377"/>
      <c r="O20" s="32"/>
      <c r="P20" s="32"/>
      <c r="Q20" s="32"/>
      <c r="R20" s="32"/>
      <c r="S20" s="12"/>
      <c r="T20" s="32"/>
      <c r="U20" s="32"/>
      <c r="V20" s="32"/>
      <c r="W20" s="32"/>
      <c r="X20" s="32"/>
      <c r="Y20" s="32"/>
      <c r="Z20" s="32"/>
      <c r="AA20" s="32"/>
      <c r="AB20" s="12"/>
      <c r="AC20" s="12"/>
      <c r="AD20" s="12"/>
      <c r="AE20" s="12"/>
      <c r="AF20" s="12"/>
      <c r="AG20" s="12"/>
      <c r="AH20" s="12"/>
      <c r="AI20" s="12"/>
      <c r="AJ20" s="12"/>
      <c r="AK20" s="12"/>
      <c r="AL20" s="12"/>
    </row>
    <row r="21" spans="1:38" ht="16.5" customHeight="1" x14ac:dyDescent="0.25">
      <c r="A21" s="378" t="s">
        <v>26</v>
      </c>
      <c r="B21" s="379"/>
      <c r="C21" s="379"/>
      <c r="D21" s="31"/>
      <c r="E21" s="31"/>
      <c r="F21" s="31"/>
      <c r="G21" s="46"/>
      <c r="H21" s="47"/>
      <c r="I21" s="32"/>
      <c r="J21" s="32"/>
      <c r="K21" s="32"/>
      <c r="L21" s="377"/>
      <c r="M21" s="377"/>
      <c r="N21" s="377"/>
      <c r="O21" s="32"/>
      <c r="P21" s="32"/>
      <c r="Q21" s="32"/>
      <c r="R21" s="32"/>
      <c r="S21" s="12"/>
      <c r="T21" s="32"/>
      <c r="U21" s="32"/>
      <c r="V21" s="32"/>
      <c r="W21" s="32"/>
      <c r="X21" s="32"/>
      <c r="Y21" s="32"/>
      <c r="Z21" s="32"/>
      <c r="AA21" s="32"/>
      <c r="AB21" s="12"/>
      <c r="AC21" s="12"/>
      <c r="AD21" s="12"/>
      <c r="AE21" s="12"/>
      <c r="AF21" s="12"/>
      <c r="AG21" s="12"/>
      <c r="AH21" s="12"/>
      <c r="AI21" s="12"/>
      <c r="AJ21" s="12"/>
      <c r="AK21" s="12"/>
      <c r="AL21" s="12"/>
    </row>
    <row r="22" spans="1:38" ht="16.5" customHeight="1" x14ac:dyDescent="0.25">
      <c r="A22" s="43"/>
      <c r="B22" s="31"/>
      <c r="C22" s="31"/>
      <c r="D22" s="31"/>
      <c r="E22" s="31"/>
      <c r="F22" s="31"/>
      <c r="G22" s="46"/>
      <c r="H22" s="47"/>
      <c r="I22" s="32"/>
      <c r="J22" s="32"/>
      <c r="K22" s="32"/>
      <c r="L22" s="42"/>
      <c r="M22" s="42"/>
      <c r="N22" s="42"/>
      <c r="O22" s="32"/>
      <c r="P22" s="32"/>
      <c r="Q22" s="32"/>
      <c r="R22" s="32"/>
      <c r="S22" s="12"/>
      <c r="T22" s="32"/>
      <c r="U22" s="32"/>
      <c r="V22" s="32"/>
      <c r="W22" s="32"/>
      <c r="X22" s="32"/>
      <c r="Y22" s="32"/>
      <c r="Z22" s="32"/>
      <c r="AA22" s="32"/>
      <c r="AB22" s="12"/>
      <c r="AC22" s="12"/>
      <c r="AD22" s="12"/>
      <c r="AE22" s="12"/>
      <c r="AF22" s="12"/>
      <c r="AG22" s="12"/>
      <c r="AH22" s="12"/>
      <c r="AI22" s="12"/>
      <c r="AJ22" s="12"/>
      <c r="AK22" s="12"/>
      <c r="AL22" s="12"/>
    </row>
    <row r="23" spans="1:38" ht="16.5" customHeight="1" x14ac:dyDescent="0.3">
      <c r="A23" s="29" t="s">
        <v>27</v>
      </c>
      <c r="B23" s="31"/>
      <c r="C23" s="31"/>
      <c r="D23" s="398" t="s">
        <v>28</v>
      </c>
      <c r="E23" s="399"/>
      <c r="F23" s="31"/>
      <c r="G23" s="46"/>
      <c r="H23" s="47"/>
      <c r="I23" s="32"/>
      <c r="J23" s="32"/>
      <c r="K23" s="32"/>
      <c r="L23" s="42"/>
      <c r="M23" s="42"/>
      <c r="N23" s="42"/>
      <c r="O23" s="32"/>
      <c r="P23" s="32"/>
      <c r="Q23" s="32"/>
      <c r="R23" s="32"/>
      <c r="S23" s="12"/>
      <c r="T23" s="32"/>
      <c r="U23" s="32"/>
      <c r="V23" s="32"/>
      <c r="W23" s="32"/>
      <c r="X23" s="32"/>
      <c r="Y23" s="32"/>
      <c r="Z23" s="32"/>
      <c r="AA23" s="32"/>
      <c r="AB23" s="12"/>
      <c r="AC23" s="12"/>
      <c r="AD23" s="12"/>
      <c r="AE23" s="12"/>
      <c r="AF23" s="12"/>
      <c r="AG23" s="12"/>
      <c r="AH23" s="12"/>
      <c r="AI23" s="12"/>
      <c r="AJ23" s="12"/>
      <c r="AK23" s="12"/>
      <c r="AL23" s="12"/>
    </row>
    <row r="24" spans="1:38" ht="16.5" customHeight="1" x14ac:dyDescent="0.25">
      <c r="A24" s="48"/>
      <c r="B24" s="49"/>
      <c r="C24" s="49"/>
      <c r="D24" s="50"/>
      <c r="E24" s="50"/>
      <c r="F24" s="50"/>
      <c r="G24" s="51"/>
      <c r="H24" s="47"/>
      <c r="I24" s="32"/>
      <c r="J24" s="32"/>
      <c r="K24" s="32"/>
      <c r="L24" s="42"/>
      <c r="M24" s="42"/>
      <c r="N24" s="42"/>
      <c r="O24" s="32"/>
      <c r="P24" s="32"/>
      <c r="Q24" s="32"/>
      <c r="R24" s="32"/>
      <c r="S24" s="12"/>
      <c r="T24" s="32"/>
      <c r="U24" s="32"/>
      <c r="V24" s="32"/>
      <c r="W24" s="32"/>
      <c r="X24" s="32"/>
      <c r="Y24" s="32"/>
      <c r="Z24" s="32"/>
      <c r="AA24" s="32"/>
      <c r="AB24" s="12"/>
      <c r="AC24" s="12"/>
      <c r="AD24" s="12"/>
      <c r="AE24" s="12"/>
      <c r="AF24" s="12"/>
      <c r="AG24" s="12"/>
      <c r="AH24" s="12"/>
      <c r="AI24" s="12"/>
      <c r="AJ24" s="12"/>
      <c r="AK24" s="12"/>
      <c r="AL24" s="12"/>
    </row>
    <row r="25" spans="1:38" ht="16.5" customHeight="1" x14ac:dyDescent="0.25">
      <c r="A25" s="358" t="s">
        <v>29</v>
      </c>
      <c r="B25" s="358"/>
      <c r="C25" s="358"/>
      <c r="D25" s="353"/>
      <c r="E25" s="354"/>
      <c r="F25" s="354"/>
      <c r="G25" s="355"/>
      <c r="H25" s="40"/>
      <c r="I25" s="32"/>
      <c r="J25" s="32"/>
      <c r="K25" s="32"/>
      <c r="L25" s="32"/>
      <c r="M25" s="32"/>
      <c r="N25" s="12"/>
      <c r="O25" s="32"/>
      <c r="P25" s="32"/>
      <c r="Q25" s="32"/>
      <c r="R25" s="32"/>
      <c r="S25" s="12"/>
      <c r="T25" s="12"/>
      <c r="U25" s="32"/>
      <c r="V25" s="32"/>
      <c r="W25" s="32"/>
      <c r="X25" s="32"/>
      <c r="Y25" s="32"/>
      <c r="Z25" s="32"/>
      <c r="AA25" s="32"/>
      <c r="AB25" s="12"/>
      <c r="AC25" s="12"/>
      <c r="AD25" s="12"/>
      <c r="AE25" s="12"/>
      <c r="AF25" s="12"/>
      <c r="AG25" s="12"/>
      <c r="AH25" s="12"/>
      <c r="AI25" s="12"/>
      <c r="AJ25" s="12"/>
      <c r="AK25" s="12"/>
      <c r="AL25" s="12"/>
    </row>
    <row r="26" spans="1:38" ht="16.5" customHeight="1" x14ac:dyDescent="0.25">
      <c r="A26" s="358" t="s">
        <v>30</v>
      </c>
      <c r="B26" s="358"/>
      <c r="C26" s="358"/>
      <c r="D26" s="353"/>
      <c r="E26" s="354"/>
      <c r="F26" s="354"/>
      <c r="G26" s="355"/>
      <c r="H26" s="40"/>
      <c r="I26" s="32"/>
      <c r="J26" s="32"/>
      <c r="K26" s="52"/>
      <c r="L26" s="32"/>
      <c r="M26" s="32"/>
      <c r="N26" s="12"/>
      <c r="O26" s="32"/>
      <c r="P26" s="32"/>
      <c r="Q26" s="32"/>
      <c r="R26" s="32"/>
      <c r="S26" s="12"/>
      <c r="T26" s="32"/>
      <c r="U26" s="32"/>
      <c r="V26" s="32"/>
      <c r="W26" s="32"/>
      <c r="X26" s="32"/>
      <c r="Y26" s="32"/>
      <c r="Z26" s="32"/>
      <c r="AA26" s="32"/>
      <c r="AB26" s="12"/>
      <c r="AC26" s="12"/>
      <c r="AD26" s="12"/>
      <c r="AE26" s="12"/>
      <c r="AF26" s="12"/>
      <c r="AG26" s="12"/>
      <c r="AH26" s="12"/>
      <c r="AI26" s="12"/>
      <c r="AJ26" s="12"/>
      <c r="AK26" s="12"/>
      <c r="AL26" s="12"/>
    </row>
    <row r="27" spans="1:38" ht="16.5" customHeight="1" x14ac:dyDescent="0.25">
      <c r="A27" s="358" t="s">
        <v>31</v>
      </c>
      <c r="B27" s="358"/>
      <c r="C27" s="358"/>
      <c r="D27" s="383"/>
      <c r="E27" s="384"/>
      <c r="F27" s="384"/>
      <c r="G27" s="385"/>
      <c r="H27" s="40"/>
      <c r="I27" s="32"/>
      <c r="J27" s="32"/>
      <c r="K27" s="53"/>
      <c r="L27" s="52"/>
      <c r="M27" s="32"/>
      <c r="N27" s="12"/>
      <c r="O27" s="32"/>
      <c r="P27" s="32"/>
      <c r="Q27" s="32"/>
      <c r="R27" s="32"/>
      <c r="S27" s="12"/>
      <c r="T27" s="32"/>
      <c r="U27" s="32"/>
      <c r="V27" s="32"/>
      <c r="W27" s="32"/>
      <c r="X27" s="32"/>
      <c r="Y27" s="32"/>
      <c r="Z27" s="32"/>
      <c r="AA27" s="32"/>
      <c r="AB27" s="12"/>
      <c r="AC27" s="12"/>
      <c r="AD27" s="12"/>
      <c r="AE27" s="12"/>
      <c r="AF27" s="12"/>
      <c r="AG27" s="12"/>
      <c r="AH27" s="12"/>
      <c r="AI27" s="12"/>
      <c r="AJ27" s="12"/>
      <c r="AK27" s="12"/>
      <c r="AL27" s="12"/>
    </row>
    <row r="28" spans="1:38" ht="36.950000000000003" customHeight="1" x14ac:dyDescent="0.25">
      <c r="A28" s="382" t="s">
        <v>32</v>
      </c>
      <c r="B28" s="382"/>
      <c r="C28" s="382"/>
      <c r="H28" s="47"/>
      <c r="I28" s="32"/>
      <c r="J28" s="32"/>
      <c r="K28" s="32"/>
      <c r="L28" s="32"/>
      <c r="M28" s="32"/>
      <c r="N28" s="12"/>
      <c r="O28" s="32"/>
      <c r="P28" s="32"/>
      <c r="Q28" s="32"/>
      <c r="R28" s="32"/>
      <c r="S28" s="12"/>
      <c r="T28" s="32"/>
      <c r="U28" s="32"/>
      <c r="V28" s="32"/>
      <c r="W28" s="32"/>
      <c r="X28" s="32"/>
      <c r="Y28" s="32"/>
      <c r="Z28" s="32"/>
      <c r="AA28" s="32"/>
      <c r="AB28" s="12"/>
      <c r="AC28" s="12"/>
      <c r="AD28" s="12"/>
      <c r="AE28" s="12"/>
      <c r="AF28" s="12"/>
      <c r="AG28" s="12"/>
      <c r="AH28" s="12"/>
      <c r="AI28" s="12"/>
      <c r="AJ28" s="12"/>
      <c r="AK28" s="12"/>
      <c r="AL28" s="12"/>
    </row>
    <row r="29" spans="1:38" ht="16.5" customHeight="1" x14ac:dyDescent="0.3">
      <c r="A29" s="358" t="s">
        <v>33</v>
      </c>
      <c r="B29" s="358"/>
      <c r="C29" s="364"/>
      <c r="D29" s="229" t="s">
        <v>34</v>
      </c>
      <c r="E29" s="220"/>
      <c r="F29" s="55" t="s">
        <v>35</v>
      </c>
      <c r="G29" s="217"/>
      <c r="H29" s="11"/>
      <c r="I29" s="32"/>
      <c r="J29" s="32"/>
      <c r="K29" s="56"/>
      <c r="L29" s="57" t="s">
        <v>36</v>
      </c>
      <c r="M29" s="363" t="s">
        <v>37</v>
      </c>
      <c r="N29" s="363"/>
      <c r="O29" s="57"/>
      <c r="P29" s="57"/>
      <c r="Q29" s="57"/>
      <c r="R29" s="57"/>
      <c r="S29" s="57"/>
      <c r="T29" s="12"/>
      <c r="U29" s="12"/>
      <c r="V29" s="12"/>
      <c r="W29" s="12"/>
      <c r="X29" s="12"/>
      <c r="Y29" s="12"/>
      <c r="Z29" s="32"/>
      <c r="AA29" s="32"/>
      <c r="AB29" s="12"/>
      <c r="AC29" s="12"/>
      <c r="AD29" s="12"/>
      <c r="AE29" s="12"/>
      <c r="AF29" s="12"/>
      <c r="AG29" s="12"/>
      <c r="AH29" s="12"/>
      <c r="AI29" s="12"/>
      <c r="AJ29" s="12"/>
      <c r="AK29" s="12"/>
      <c r="AL29" s="12"/>
    </row>
    <row r="30" spans="1:38" ht="16.5" customHeight="1" x14ac:dyDescent="0.25">
      <c r="A30" s="54" t="s">
        <v>38</v>
      </c>
      <c r="B30" s="59"/>
      <c r="C30" s="60"/>
      <c r="D30" s="229" t="s">
        <v>39</v>
      </c>
      <c r="E30" s="221"/>
      <c r="F30" s="55" t="s">
        <v>40</v>
      </c>
      <c r="G30" s="231"/>
      <c r="H30" s="11"/>
      <c r="I30" s="32"/>
      <c r="J30" s="32"/>
      <c r="K30" s="61" t="s">
        <v>41</v>
      </c>
      <c r="L30" s="62">
        <f>BarselsfondenTilskud!E30</f>
        <v>0</v>
      </c>
      <c r="M30" s="362">
        <f>BarselsfondenTilskud!G30</f>
        <v>0</v>
      </c>
      <c r="N30" s="362"/>
      <c r="O30" s="57" t="s">
        <v>42</v>
      </c>
      <c r="P30" s="57"/>
      <c r="Q30" s="57"/>
      <c r="R30" s="57"/>
      <c r="S30" s="63"/>
      <c r="T30" s="12"/>
      <c r="U30" s="12"/>
      <c r="V30" s="12"/>
      <c r="W30" s="12"/>
      <c r="X30" s="12"/>
      <c r="Y30" s="12"/>
      <c r="Z30" s="32"/>
      <c r="AA30" s="32"/>
      <c r="AB30" s="12"/>
      <c r="AC30" s="12"/>
      <c r="AD30" s="12"/>
      <c r="AE30" s="12"/>
      <c r="AF30" s="12"/>
      <c r="AG30" s="12"/>
      <c r="AH30" s="12"/>
      <c r="AI30" s="12"/>
      <c r="AJ30" s="12"/>
      <c r="AK30" s="12"/>
      <c r="AL30" s="12"/>
    </row>
    <row r="31" spans="1:38" ht="16.5" customHeight="1" x14ac:dyDescent="0.25">
      <c r="A31" s="358" t="s">
        <v>43</v>
      </c>
      <c r="B31" s="358"/>
      <c r="C31" s="358"/>
      <c r="D31" s="229" t="s">
        <v>44</v>
      </c>
      <c r="E31" s="231" t="s">
        <v>45</v>
      </c>
      <c r="F31" s="40"/>
      <c r="G31" s="232"/>
      <c r="H31" s="11"/>
      <c r="I31" s="32"/>
      <c r="J31" s="32"/>
      <c r="K31" s="57"/>
      <c r="L31" s="62"/>
      <c r="M31" s="62"/>
      <c r="N31" s="62"/>
      <c r="O31" s="57"/>
      <c r="P31" s="57"/>
      <c r="Q31" s="57"/>
      <c r="R31" s="57"/>
      <c r="S31" s="63"/>
      <c r="T31" s="12"/>
      <c r="U31" s="12"/>
      <c r="V31" s="12"/>
      <c r="W31" s="12"/>
      <c r="X31" s="12"/>
      <c r="Y31" s="12"/>
      <c r="Z31" s="32"/>
      <c r="AA31" s="32"/>
      <c r="AB31" s="12"/>
      <c r="AC31" s="12"/>
      <c r="AD31" s="12"/>
      <c r="AE31" s="12"/>
      <c r="AF31" s="12"/>
      <c r="AG31" s="12"/>
      <c r="AH31" s="12"/>
      <c r="AI31" s="12"/>
      <c r="AJ31" s="12"/>
      <c r="AK31" s="12"/>
      <c r="AL31" s="12"/>
    </row>
    <row r="32" spans="1:38" ht="16.5" customHeight="1" x14ac:dyDescent="0.25">
      <c r="A32" s="359" t="s">
        <v>46</v>
      </c>
      <c r="B32" s="359"/>
      <c r="C32" s="359"/>
      <c r="D32" s="277"/>
      <c r="E32" s="13"/>
      <c r="F32" s="13"/>
      <c r="G32" s="230"/>
      <c r="H32" s="11"/>
      <c r="I32" s="32"/>
      <c r="J32" s="32"/>
      <c r="K32" s="57"/>
      <c r="L32" s="62"/>
      <c r="M32" s="62"/>
      <c r="N32" s="62"/>
      <c r="O32" s="57"/>
      <c r="P32" s="57"/>
      <c r="Q32" s="57"/>
      <c r="R32" s="57"/>
      <c r="S32" s="63"/>
      <c r="T32" s="12"/>
      <c r="U32" s="12"/>
      <c r="V32" s="12"/>
      <c r="W32" s="12"/>
      <c r="X32" s="12"/>
      <c r="Y32" s="12"/>
      <c r="Z32" s="32"/>
      <c r="AA32" s="32"/>
      <c r="AB32" s="12"/>
      <c r="AC32" s="12"/>
      <c r="AD32" s="12"/>
      <c r="AE32" s="12"/>
      <c r="AF32" s="12"/>
      <c r="AG32" s="12"/>
      <c r="AH32" s="12"/>
      <c r="AI32" s="12"/>
      <c r="AJ32" s="12"/>
      <c r="AK32" s="12"/>
      <c r="AL32" s="12"/>
    </row>
    <row r="33" spans="1:38" ht="16.5" customHeight="1" x14ac:dyDescent="0.25">
      <c r="A33" s="357" t="str">
        <f>IF(D23="Far / Medmor","Inkludere perioden 2 ugers fædreorlov?","")</f>
        <v/>
      </c>
      <c r="B33" s="357"/>
      <c r="C33" s="357"/>
      <c r="D33" s="356" t="s">
        <v>45</v>
      </c>
      <c r="E33" s="356"/>
      <c r="F33" s="356"/>
      <c r="G33" s="25"/>
      <c r="H33" s="11"/>
      <c r="I33" s="32"/>
      <c r="J33" s="32"/>
      <c r="K33" s="52"/>
      <c r="L33" s="32"/>
      <c r="M33" s="32"/>
      <c r="N33" s="12"/>
      <c r="O33" s="32"/>
      <c r="P33" s="32"/>
      <c r="Q33" s="32"/>
      <c r="R33" s="32"/>
      <c r="S33" s="12"/>
      <c r="T33" s="12"/>
      <c r="U33" s="12"/>
      <c r="V33" s="12"/>
      <c r="W33" s="12"/>
      <c r="X33" s="12"/>
      <c r="Y33" s="12"/>
      <c r="Z33" s="32"/>
      <c r="AA33" s="32"/>
      <c r="AB33" s="12"/>
      <c r="AC33" s="12"/>
      <c r="AD33" s="12"/>
      <c r="AE33" s="12"/>
      <c r="AF33" s="12"/>
      <c r="AG33" s="12"/>
      <c r="AH33" s="12"/>
      <c r="AI33" s="12"/>
      <c r="AJ33" s="12"/>
      <c r="AK33" s="12"/>
      <c r="AL33" s="12"/>
    </row>
    <row r="34" spans="1:38" ht="17.25" customHeight="1" x14ac:dyDescent="0.25">
      <c r="A34" s="427" t="str">
        <f>IF(AND($D$23="Far / Medmor",G29&lt;&gt;"")," Forventet fødselsdato skal ikke udfyldes for far eller medmor","")</f>
        <v/>
      </c>
      <c r="B34" s="428"/>
      <c r="C34" s="428"/>
      <c r="D34" s="428"/>
      <c r="E34" s="428"/>
      <c r="F34" s="428"/>
      <c r="G34" s="429"/>
      <c r="H34" s="64"/>
      <c r="I34" s="32"/>
      <c r="J34" s="52"/>
      <c r="K34" s="32"/>
      <c r="L34" s="12"/>
      <c r="M34" s="12"/>
      <c r="N34" s="12"/>
      <c r="O34" s="12"/>
      <c r="P34" s="12"/>
      <c r="Q34" s="12"/>
      <c r="R34" s="12"/>
      <c r="S34" s="12"/>
      <c r="T34" s="12"/>
      <c r="U34" s="2"/>
      <c r="V34" s="2"/>
      <c r="W34" s="3"/>
      <c r="X34" s="32"/>
      <c r="Y34" s="32"/>
      <c r="Z34" s="12"/>
      <c r="AA34" s="12"/>
      <c r="AB34" s="12"/>
      <c r="AC34" s="12"/>
      <c r="AD34" s="12"/>
      <c r="AE34" s="12"/>
      <c r="AF34" s="12"/>
      <c r="AG34" s="12"/>
      <c r="AH34" s="12"/>
      <c r="AI34" s="12"/>
      <c r="AJ34" s="12"/>
      <c r="AK34" s="12"/>
      <c r="AL34" s="12"/>
    </row>
    <row r="35" spans="1:38" ht="20.100000000000001" customHeight="1" x14ac:dyDescent="0.3">
      <c r="A35" s="65" t="s">
        <v>47</v>
      </c>
      <c r="B35" s="13"/>
      <c r="C35" s="11"/>
      <c r="D35" s="11"/>
      <c r="E35" s="11"/>
      <c r="F35" s="11"/>
      <c r="G35" s="25"/>
      <c r="H35" s="11"/>
      <c r="I35" s="32"/>
      <c r="J35" s="282"/>
      <c r="K35" s="32"/>
      <c r="L35" s="32"/>
      <c r="M35" s="32"/>
      <c r="N35" s="32"/>
      <c r="O35" s="32"/>
      <c r="P35" s="32"/>
      <c r="Q35" s="32"/>
      <c r="R35" s="32"/>
      <c r="S35" s="32"/>
      <c r="T35" s="32"/>
      <c r="U35" s="2"/>
      <c r="V35" s="2"/>
      <c r="W35" s="3"/>
      <c r="X35" s="32"/>
      <c r="Y35" s="32"/>
      <c r="Z35" s="32"/>
      <c r="AA35" s="32"/>
      <c r="AB35" s="12"/>
      <c r="AC35" s="12"/>
      <c r="AD35" s="12"/>
      <c r="AE35" s="12"/>
      <c r="AF35" s="12"/>
      <c r="AG35" s="12"/>
      <c r="AH35" s="12"/>
      <c r="AI35" s="12"/>
      <c r="AJ35" s="12"/>
      <c r="AK35" s="12"/>
      <c r="AL35" s="12"/>
    </row>
    <row r="36" spans="1:38" x14ac:dyDescent="0.25">
      <c r="A36" s="24"/>
      <c r="B36" s="13"/>
      <c r="C36" s="13"/>
      <c r="D36" s="11"/>
      <c r="E36" s="11"/>
      <c r="F36" s="11"/>
      <c r="G36" s="25"/>
      <c r="H36" s="11"/>
      <c r="I36" s="32"/>
      <c r="J36" s="32"/>
      <c r="K36" s="66"/>
      <c r="L36" s="32"/>
      <c r="M36" s="32"/>
      <c r="N36" s="32"/>
      <c r="O36" s="32"/>
      <c r="P36" s="32"/>
      <c r="Q36" s="32"/>
      <c r="R36" s="32"/>
      <c r="S36" s="32"/>
      <c r="T36" s="32"/>
      <c r="U36" s="2"/>
      <c r="V36" s="2"/>
      <c r="W36" s="2"/>
      <c r="X36" s="32"/>
      <c r="Y36" s="32"/>
      <c r="Z36" s="32"/>
      <c r="AA36" s="32"/>
      <c r="AB36" s="12"/>
      <c r="AC36" s="12"/>
      <c r="AD36" s="12"/>
      <c r="AE36" s="12"/>
      <c r="AF36" s="12"/>
      <c r="AG36" s="12"/>
      <c r="AH36" s="12"/>
      <c r="AI36" s="12"/>
      <c r="AJ36" s="12"/>
      <c r="AK36" s="12"/>
      <c r="AL36" s="12"/>
    </row>
    <row r="37" spans="1:38" x14ac:dyDescent="0.25">
      <c r="A37" s="67"/>
      <c r="B37" s="68"/>
      <c r="C37" s="68"/>
      <c r="D37" s="11"/>
      <c r="E37" s="11"/>
      <c r="F37" s="11"/>
      <c r="G37" s="25"/>
      <c r="H37" s="11"/>
      <c r="I37" s="12"/>
      <c r="J37" s="84"/>
      <c r="K37" s="69"/>
      <c r="L37" s="12"/>
      <c r="M37" s="12"/>
      <c r="N37" s="52"/>
      <c r="O37" s="12"/>
      <c r="P37" s="12"/>
      <c r="Q37" s="12"/>
      <c r="R37" s="12"/>
      <c r="S37" s="12"/>
      <c r="T37" s="12"/>
      <c r="U37" s="12"/>
      <c r="V37" s="12"/>
      <c r="W37" s="12"/>
      <c r="X37" s="12"/>
      <c r="Y37" s="12"/>
      <c r="Z37" s="12"/>
      <c r="AA37" s="12"/>
      <c r="AB37" s="12"/>
      <c r="AC37" s="12"/>
      <c r="AD37" s="12"/>
      <c r="AE37" s="12"/>
      <c r="AF37" s="12"/>
      <c r="AG37" s="12"/>
      <c r="AH37" s="12"/>
      <c r="AI37" s="12"/>
      <c r="AJ37" s="12"/>
      <c r="AK37" s="12"/>
      <c r="AL37" s="12"/>
    </row>
    <row r="38" spans="1:38" x14ac:dyDescent="0.25">
      <c r="A38" s="24"/>
      <c r="B38" s="11"/>
      <c r="C38" s="11"/>
      <c r="D38" s="11"/>
      <c r="E38" s="11"/>
      <c r="F38" s="11"/>
      <c r="G38" s="25"/>
      <c r="H38" s="11"/>
      <c r="I38" s="12"/>
      <c r="J38" s="12"/>
      <c r="K38" s="52"/>
      <c r="L38" s="12"/>
      <c r="M38" s="12"/>
      <c r="N38" s="52"/>
      <c r="O38" s="12"/>
      <c r="P38" s="12"/>
      <c r="Q38" s="12"/>
      <c r="R38" s="12"/>
      <c r="S38" s="12"/>
      <c r="T38" s="12"/>
      <c r="U38" s="12"/>
      <c r="V38" s="12"/>
      <c r="W38" s="12"/>
      <c r="X38" s="12"/>
      <c r="Y38" s="12"/>
      <c r="Z38" s="12"/>
      <c r="AA38" s="12"/>
      <c r="AB38" s="12"/>
      <c r="AC38" s="12"/>
      <c r="AD38" s="12"/>
      <c r="AE38" s="12"/>
      <c r="AF38" s="12"/>
      <c r="AG38" s="12"/>
      <c r="AH38" s="12"/>
      <c r="AI38" s="12"/>
      <c r="AJ38" s="12"/>
      <c r="AK38" s="12"/>
      <c r="AL38" s="12"/>
    </row>
    <row r="39" spans="1:38" x14ac:dyDescent="0.25">
      <c r="A39" s="34" t="s">
        <v>48</v>
      </c>
      <c r="B39" s="13"/>
      <c r="C39" s="13"/>
      <c r="D39" s="6">
        <v>37</v>
      </c>
      <c r="E39" s="11"/>
      <c r="F39" s="11"/>
      <c r="G39" s="25"/>
      <c r="H39" s="11"/>
      <c r="I39" s="12"/>
      <c r="J39" s="12"/>
      <c r="K39" s="301" t="s">
        <v>49</v>
      </c>
      <c r="L39" s="302"/>
      <c r="M39" s="70">
        <f>IF(D39&gt;37,1,D39/37)</f>
        <v>1</v>
      </c>
      <c r="N39" s="66"/>
      <c r="O39" s="12"/>
      <c r="P39" s="12"/>
      <c r="Q39" s="12"/>
      <c r="R39" s="12"/>
      <c r="S39" s="12"/>
      <c r="T39" s="12"/>
      <c r="U39" s="12"/>
      <c r="V39" s="12"/>
      <c r="W39" s="12"/>
      <c r="X39" s="12"/>
      <c r="Y39" s="12"/>
      <c r="Z39" s="12"/>
      <c r="AA39" s="12"/>
      <c r="AB39" s="12"/>
      <c r="AC39" s="12"/>
      <c r="AD39" s="12"/>
      <c r="AE39" s="12"/>
      <c r="AF39" s="12"/>
      <c r="AG39" s="12"/>
      <c r="AH39" s="12"/>
      <c r="AI39" s="12"/>
      <c r="AJ39" s="12"/>
      <c r="AK39" s="12"/>
      <c r="AL39" s="12"/>
    </row>
    <row r="40" spans="1:38" s="74" customFormat="1" ht="35.1" customHeight="1" x14ac:dyDescent="0.25">
      <c r="A40" s="430" t="str">
        <f>IF(D39&lt;=10,"Kontakt barselsfonden for hjælp, sagen kan være kompliceret",
     IF(D39&gt;37, "Du kan maks få refusion for 37 timer. Tilskudet beregnes ud fra 37 timer.",""))</f>
        <v/>
      </c>
      <c r="B40" s="431"/>
      <c r="C40" s="431"/>
      <c r="D40" s="431"/>
      <c r="E40" s="431"/>
      <c r="F40" s="431"/>
      <c r="G40" s="432"/>
      <c r="H40" s="11"/>
      <c r="I40" s="71"/>
      <c r="J40" s="71"/>
      <c r="K40" s="71"/>
      <c r="L40" s="71"/>
      <c r="M40" s="71"/>
      <c r="N40" s="52"/>
      <c r="O40" s="71"/>
      <c r="P40" s="71"/>
      <c r="Q40" s="71"/>
      <c r="R40" s="71"/>
      <c r="S40" s="71"/>
      <c r="T40" s="71"/>
      <c r="U40" s="71"/>
      <c r="V40" s="72"/>
      <c r="W40" s="71"/>
      <c r="X40" s="71"/>
      <c r="Y40" s="71"/>
      <c r="Z40" s="71"/>
      <c r="AA40" s="71"/>
      <c r="AB40" s="73"/>
      <c r="AC40" s="73"/>
      <c r="AD40" s="73"/>
      <c r="AE40" s="73"/>
      <c r="AF40" s="73"/>
      <c r="AG40" s="73"/>
      <c r="AH40" s="73"/>
      <c r="AI40" s="73"/>
      <c r="AJ40" s="73"/>
      <c r="AK40" s="73"/>
      <c r="AL40" s="73"/>
    </row>
    <row r="41" spans="1:38" ht="20.45" customHeight="1" x14ac:dyDescent="0.25">
      <c r="A41" s="24"/>
      <c r="B41" s="13"/>
      <c r="C41" s="13"/>
      <c r="D41" s="13"/>
      <c r="E41" s="13"/>
      <c r="F41" s="13"/>
      <c r="G41" s="75"/>
      <c r="I41" s="32"/>
      <c r="J41" s="32"/>
      <c r="L41" s="32"/>
      <c r="M41" s="32"/>
      <c r="N41" s="32"/>
      <c r="O41" s="32"/>
      <c r="P41" s="32"/>
      <c r="Q41" s="32"/>
      <c r="R41" s="32"/>
      <c r="S41" s="32"/>
      <c r="T41" s="32"/>
      <c r="U41" s="32"/>
      <c r="V41" s="32"/>
      <c r="W41" s="32"/>
      <c r="X41" s="32"/>
      <c r="Y41" s="32"/>
      <c r="Z41" s="32"/>
      <c r="AA41" s="32"/>
      <c r="AB41" s="12"/>
      <c r="AC41" s="12"/>
      <c r="AD41" s="12"/>
      <c r="AE41" s="12"/>
      <c r="AF41" s="12"/>
      <c r="AG41" s="12"/>
      <c r="AH41" s="12"/>
      <c r="AI41" s="12"/>
      <c r="AJ41" s="12"/>
      <c r="AK41" s="12"/>
      <c r="AL41" s="12"/>
    </row>
    <row r="42" spans="1:38" s="74" customFormat="1" ht="18.75" customHeight="1" x14ac:dyDescent="0.25">
      <c r="A42" s="34" t="s">
        <v>50</v>
      </c>
      <c r="B42" s="76"/>
      <c r="C42" s="76"/>
      <c r="D42" s="77"/>
      <c r="E42" s="76"/>
      <c r="F42" s="6" t="s">
        <v>51</v>
      </c>
      <c r="G42" s="78"/>
      <c r="H42" s="77"/>
      <c r="I42" s="71"/>
      <c r="J42" s="71"/>
      <c r="K42" s="79" t="b">
        <f>IF(F42="Ja",TRUE,FALSE)</f>
        <v>0</v>
      </c>
      <c r="L42" s="71"/>
      <c r="M42" s="71"/>
      <c r="N42" s="71"/>
      <c r="O42" s="71"/>
      <c r="P42" s="71"/>
      <c r="Q42" s="71"/>
      <c r="R42" s="71"/>
      <c r="S42" s="71"/>
      <c r="T42" s="71"/>
      <c r="U42" s="71"/>
      <c r="V42" s="72"/>
      <c r="W42" s="71"/>
      <c r="X42" s="71"/>
      <c r="Y42" s="71"/>
      <c r="Z42" s="71"/>
      <c r="AA42" s="71"/>
      <c r="AB42" s="73"/>
      <c r="AC42" s="73"/>
      <c r="AD42" s="73"/>
      <c r="AE42" s="73"/>
      <c r="AF42" s="73"/>
      <c r="AG42" s="73"/>
      <c r="AH42" s="73"/>
      <c r="AI42" s="73"/>
      <c r="AJ42" s="73"/>
      <c r="AK42" s="73"/>
      <c r="AL42" s="73"/>
    </row>
    <row r="43" spans="1:38" ht="43.5" customHeight="1" x14ac:dyDescent="0.25">
      <c r="A43" s="424" t="str">
        <f>IF(K42,"Udfyld oplysninger om ændringen senere i skemaet: Løn og timenorm","")</f>
        <v/>
      </c>
      <c r="B43" s="425"/>
      <c r="C43" s="425"/>
      <c r="D43" s="425"/>
      <c r="E43" s="425"/>
      <c r="F43" s="425"/>
      <c r="G43" s="426"/>
      <c r="H43" s="11"/>
      <c r="I43" s="12"/>
      <c r="J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row>
    <row r="44" spans="1:38" ht="3.95" customHeight="1" x14ac:dyDescent="0.25">
      <c r="A44" s="34"/>
      <c r="B44" s="11"/>
      <c r="C44" s="11"/>
      <c r="D44" s="11"/>
      <c r="E44" s="11"/>
      <c r="F44" s="11"/>
      <c r="G44" s="25"/>
      <c r="H44" s="11"/>
      <c r="I44" s="12"/>
      <c r="J44" s="32"/>
      <c r="K44" s="4"/>
      <c r="L44" s="12"/>
      <c r="M44" s="12"/>
      <c r="N44" s="32"/>
      <c r="O44" s="52"/>
      <c r="P44" s="52"/>
      <c r="Q44" s="52"/>
      <c r="R44" s="52"/>
      <c r="S44" s="12"/>
      <c r="T44" s="12"/>
      <c r="U44" s="12"/>
      <c r="V44" s="12"/>
      <c r="W44" s="12"/>
      <c r="X44" s="12"/>
      <c r="Y44" s="12"/>
      <c r="Z44" s="12"/>
      <c r="AA44" s="12"/>
      <c r="AB44" s="12"/>
      <c r="AC44" s="12"/>
      <c r="AD44" s="12"/>
      <c r="AE44" s="12"/>
      <c r="AF44" s="12"/>
      <c r="AG44" s="12"/>
      <c r="AH44" s="12"/>
      <c r="AI44" s="12"/>
      <c r="AJ44" s="12"/>
      <c r="AK44" s="12"/>
      <c r="AL44" s="12"/>
    </row>
    <row r="45" spans="1:38" x14ac:dyDescent="0.25">
      <c r="A45" s="34" t="s">
        <v>52</v>
      </c>
      <c r="B45" s="13"/>
      <c r="C45" s="13"/>
      <c r="D45" s="13"/>
      <c r="E45" s="13"/>
      <c r="F45" s="216">
        <v>0</v>
      </c>
      <c r="G45" s="75"/>
      <c r="H45" s="11"/>
      <c r="I45" s="12"/>
      <c r="J45" s="12"/>
      <c r="K45" s="305">
        <f>ROUND(IF(D39&lt;=37,F45,(F45/D39)*37),0)</f>
        <v>0</v>
      </c>
      <c r="L45" s="305"/>
      <c r="M45" s="12"/>
      <c r="N45" s="32"/>
      <c r="O45" s="32"/>
      <c r="P45" s="32"/>
      <c r="Q45" s="32"/>
      <c r="R45" s="32"/>
      <c r="S45" s="12"/>
      <c r="T45" s="12"/>
      <c r="U45" s="12"/>
      <c r="V45" s="12"/>
      <c r="W45" s="12"/>
      <c r="X45" s="12"/>
      <c r="Y45" s="12"/>
      <c r="Z45" s="12"/>
      <c r="AA45" s="12"/>
      <c r="AB45" s="12"/>
      <c r="AC45" s="12"/>
      <c r="AD45" s="12"/>
      <c r="AE45" s="12"/>
      <c r="AF45" s="12"/>
      <c r="AG45" s="12"/>
      <c r="AH45" s="12"/>
      <c r="AI45" s="12"/>
      <c r="AJ45" s="12"/>
      <c r="AK45" s="12"/>
      <c r="AL45" s="12"/>
    </row>
    <row r="46" spans="1:38" ht="38.450000000000003" customHeight="1" x14ac:dyDescent="0.25">
      <c r="A46" s="401" t="str">
        <f>IF(D39&gt;37,"Du kan kun få refusion for 37 timer. Den indtastede månedsløn er derfor omregnet til en fuldtidstilling på 37timer. Det refunderbare beløb for en måned er " &amp; K45 &amp;"kr","")</f>
        <v/>
      </c>
      <c r="B46" s="402"/>
      <c r="C46" s="402"/>
      <c r="D46" s="402"/>
      <c r="E46" s="402"/>
      <c r="F46" s="402"/>
      <c r="G46" s="403"/>
      <c r="H46" s="11"/>
      <c r="I46" s="12"/>
      <c r="J46" s="12"/>
      <c r="K46" s="12"/>
      <c r="L46" s="12"/>
      <c r="M46" s="12"/>
      <c r="N46" s="32"/>
      <c r="O46" s="32"/>
      <c r="P46" s="32"/>
      <c r="Q46" s="32"/>
      <c r="R46" s="32"/>
      <c r="S46" s="12"/>
      <c r="T46" s="12"/>
      <c r="U46" s="12"/>
      <c r="V46" s="12"/>
      <c r="W46" s="12"/>
      <c r="X46" s="12"/>
      <c r="Y46" s="12"/>
      <c r="Z46" s="12"/>
      <c r="AA46" s="12"/>
      <c r="AB46" s="12"/>
      <c r="AC46" s="12"/>
      <c r="AD46" s="12"/>
      <c r="AE46" s="12"/>
      <c r="AF46" s="12"/>
      <c r="AG46" s="12"/>
      <c r="AH46" s="12"/>
      <c r="AI46" s="12"/>
      <c r="AJ46" s="12"/>
      <c r="AK46" s="12"/>
      <c r="AL46" s="12"/>
    </row>
    <row r="47" spans="1:38" ht="5.0999999999999996" customHeight="1" x14ac:dyDescent="0.25">
      <c r="A47" s="303"/>
      <c r="B47" s="304"/>
      <c r="C47" s="304"/>
      <c r="D47" s="11"/>
      <c r="E47" s="11"/>
      <c r="F47" s="11"/>
      <c r="G47" s="75"/>
      <c r="H47" s="11"/>
      <c r="I47" s="12"/>
      <c r="J47" s="12"/>
      <c r="K47" s="12"/>
      <c r="L47" s="12"/>
      <c r="M47" s="12"/>
      <c r="N47" s="32"/>
      <c r="O47" s="32"/>
      <c r="P47" s="32"/>
      <c r="Q47" s="32"/>
      <c r="R47" s="32"/>
      <c r="S47" s="12"/>
      <c r="T47" s="12"/>
      <c r="U47" s="12"/>
      <c r="V47" s="12"/>
      <c r="W47" s="12"/>
      <c r="X47" s="12"/>
      <c r="Y47" s="12"/>
      <c r="Z47" s="12"/>
      <c r="AA47" s="12"/>
      <c r="AB47" s="12"/>
      <c r="AC47" s="12"/>
      <c r="AD47" s="12"/>
      <c r="AE47" s="12"/>
      <c r="AF47" s="12"/>
      <c r="AG47" s="12"/>
      <c r="AH47" s="12"/>
      <c r="AI47" s="12"/>
      <c r="AJ47" s="12"/>
      <c r="AK47" s="12"/>
      <c r="AL47" s="12"/>
    </row>
    <row r="48" spans="1:38" x14ac:dyDescent="0.25">
      <c r="A48" s="34" t="s">
        <v>53</v>
      </c>
      <c r="B48" s="13"/>
      <c r="C48" s="13"/>
      <c r="D48" s="13"/>
      <c r="E48" s="13"/>
      <c r="F48" s="6" t="s">
        <v>45</v>
      </c>
      <c r="G48" s="75"/>
      <c r="H48" s="11"/>
      <c r="I48" s="12"/>
      <c r="J48" s="12"/>
      <c r="K48" s="79" t="b">
        <f>IF(F48="Nej",FALSE,TRUE)</f>
        <v>0</v>
      </c>
      <c r="L48" s="12"/>
      <c r="M48" s="12"/>
      <c r="N48" s="32"/>
      <c r="O48" s="32"/>
      <c r="P48" s="32"/>
      <c r="Q48" s="32"/>
      <c r="R48" s="32"/>
      <c r="S48" s="12"/>
      <c r="T48" s="12"/>
      <c r="U48" s="12"/>
      <c r="V48" s="12"/>
      <c r="W48" s="12"/>
      <c r="X48" s="12"/>
      <c r="Y48" s="12"/>
      <c r="Z48" s="12"/>
      <c r="AA48" s="12"/>
      <c r="AB48" s="12"/>
      <c r="AC48" s="12"/>
      <c r="AD48" s="12"/>
      <c r="AE48" s="12"/>
      <c r="AF48" s="12"/>
      <c r="AG48" s="12"/>
      <c r="AH48" s="12"/>
      <c r="AI48" s="12"/>
      <c r="AJ48" s="12"/>
      <c r="AK48" s="12"/>
      <c r="AL48" s="12"/>
    </row>
    <row r="49" spans="1:38" ht="39" customHeight="1" x14ac:dyDescent="0.25">
      <c r="A49" s="401" t="str">
        <f>IF(K48,"Udfyld oplysninger om ændringen senere i skemaet, i tabellen 'Løn og timenorm'", "")</f>
        <v/>
      </c>
      <c r="B49" s="402"/>
      <c r="C49" s="402"/>
      <c r="D49" s="402"/>
      <c r="E49" s="402"/>
      <c r="F49" s="402"/>
      <c r="G49" s="403"/>
      <c r="H49" s="11"/>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row>
    <row r="50" spans="1:38" x14ac:dyDescent="0.25">
      <c r="A50" s="34" t="s">
        <v>54</v>
      </c>
      <c r="B50" s="11"/>
      <c r="C50" s="11"/>
      <c r="D50" s="11"/>
      <c r="E50" s="11"/>
      <c r="F50" s="13"/>
      <c r="G50" s="6" t="s">
        <v>45</v>
      </c>
      <c r="H50" s="11"/>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row>
    <row r="51" spans="1:38" x14ac:dyDescent="0.25">
      <c r="A51" s="24"/>
      <c r="B51" s="13"/>
      <c r="C51" s="13"/>
      <c r="D51" s="11"/>
      <c r="E51" s="11"/>
      <c r="F51" s="13"/>
      <c r="G51" s="25"/>
      <c r="H51" s="11"/>
      <c r="I51" s="12"/>
      <c r="J51" s="12"/>
      <c r="K51" s="79" t="b">
        <f>IF(G50="Nej",FALSE,TRUE)</f>
        <v>0</v>
      </c>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row>
    <row r="52" spans="1:38" ht="46.5" customHeight="1" x14ac:dyDescent="0.25">
      <c r="A52" s="401" t="str">
        <f>IF(D23="Far / Medmor","Far eller medmor kan ikke opleve graviditetsgener. Hvis der er tale om en mor, skal dette angives i oplysningerne om den barslende",
IF(K51,"Udfyld nedenstående skema evt. deltidsfravær skal udfyldes senere. Hvis den barslende udelukkende har været deltidsfraværende skal du svare:Nej og udfylde deltidsfravær senere i arket",""))</f>
        <v/>
      </c>
      <c r="B52" s="402"/>
      <c r="C52" s="402"/>
      <c r="D52" s="402"/>
      <c r="E52" s="402"/>
      <c r="F52" s="402"/>
      <c r="G52" s="403"/>
      <c r="H52" s="11"/>
      <c r="I52" s="12"/>
      <c r="J52" s="12"/>
      <c r="K52" s="12"/>
      <c r="L52" s="12"/>
      <c r="M52" s="12"/>
      <c r="N52" s="12" t="s">
        <v>55</v>
      </c>
      <c r="O52" s="12"/>
      <c r="P52" s="12"/>
      <c r="Q52" s="12"/>
      <c r="R52" s="12"/>
      <c r="S52" s="12"/>
      <c r="T52" s="12"/>
      <c r="U52" s="12"/>
      <c r="V52" s="12"/>
      <c r="W52" s="12"/>
      <c r="X52" s="12"/>
      <c r="Y52" s="12"/>
      <c r="Z52" s="12"/>
      <c r="AA52" s="12"/>
      <c r="AB52" s="12"/>
      <c r="AC52" s="12"/>
      <c r="AD52" s="12"/>
      <c r="AE52" s="12"/>
      <c r="AF52" s="12"/>
      <c r="AG52" s="12"/>
      <c r="AH52" s="12"/>
      <c r="AI52" s="12"/>
      <c r="AJ52" s="12"/>
      <c r="AK52" s="12"/>
      <c r="AL52" s="12"/>
    </row>
    <row r="53" spans="1:38" ht="14.25" customHeight="1" x14ac:dyDescent="0.3">
      <c r="A53" s="24"/>
      <c r="B53" s="81"/>
      <c r="C53" s="81"/>
      <c r="D53" s="81"/>
      <c r="E53" s="11"/>
      <c r="F53" s="11"/>
      <c r="G53" s="25"/>
      <c r="H53" s="11"/>
      <c r="I53" s="12"/>
      <c r="J53" s="12"/>
      <c r="K53" s="12"/>
      <c r="L53" s="12"/>
      <c r="M53" s="12" t="s">
        <v>56</v>
      </c>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row>
    <row r="54" spans="1:38" ht="20.25" x14ac:dyDescent="0.3">
      <c r="A54" s="82" t="s">
        <v>57</v>
      </c>
      <c r="B54" s="83"/>
      <c r="C54" s="83"/>
      <c r="D54" s="83"/>
      <c r="E54" s="11"/>
      <c r="F54" s="11"/>
      <c r="G54" s="25"/>
      <c r="H54" s="11"/>
      <c r="I54" s="12"/>
      <c r="J54" s="12"/>
      <c r="K54" s="12"/>
      <c r="L54" s="12"/>
      <c r="M54" s="12"/>
      <c r="N54" s="12" t="s">
        <v>58</v>
      </c>
      <c r="O54" s="12" t="s">
        <v>59</v>
      </c>
      <c r="P54" s="12"/>
      <c r="Q54" s="12"/>
      <c r="R54" s="12"/>
      <c r="S54" s="12"/>
      <c r="T54" s="12"/>
      <c r="U54" s="12"/>
      <c r="V54" s="12"/>
      <c r="W54" s="12"/>
      <c r="X54" s="12"/>
      <c r="Y54" s="12"/>
      <c r="Z54" s="12"/>
      <c r="AA54" s="12"/>
      <c r="AB54" s="12"/>
      <c r="AC54" s="12"/>
      <c r="AD54" s="12"/>
      <c r="AE54" s="12"/>
      <c r="AF54" s="12"/>
      <c r="AG54" s="12"/>
      <c r="AH54" s="12"/>
      <c r="AI54" s="12"/>
      <c r="AJ54" s="12"/>
      <c r="AK54" s="12"/>
      <c r="AL54" s="12"/>
    </row>
    <row r="55" spans="1:38" x14ac:dyDescent="0.25">
      <c r="A55" s="34"/>
      <c r="B55" s="11"/>
      <c r="C55" s="11"/>
      <c r="D55" s="11"/>
      <c r="E55" s="11"/>
      <c r="F55" s="11"/>
      <c r="G55" s="25"/>
      <c r="H55" s="11"/>
      <c r="I55" s="12"/>
      <c r="J55" s="12"/>
      <c r="K55" s="12" t="s">
        <v>39</v>
      </c>
      <c r="L55" s="12" t="s">
        <v>40</v>
      </c>
      <c r="M55" s="12" t="s">
        <v>60</v>
      </c>
      <c r="O55" s="12" t="s">
        <v>56</v>
      </c>
      <c r="P55" s="12"/>
      <c r="Q55" s="12"/>
      <c r="R55" s="12"/>
      <c r="S55" s="12" t="s">
        <v>55</v>
      </c>
      <c r="T55" s="12" t="s">
        <v>61</v>
      </c>
      <c r="U55" s="12" t="s">
        <v>62</v>
      </c>
      <c r="V55" s="12"/>
      <c r="W55" s="12"/>
      <c r="X55" s="12"/>
      <c r="Y55" s="12"/>
      <c r="Z55" s="12"/>
      <c r="AA55" s="12"/>
      <c r="AB55" s="12"/>
      <c r="AC55" s="12"/>
      <c r="AD55" s="12"/>
      <c r="AE55" s="12"/>
      <c r="AF55" s="12"/>
      <c r="AG55" s="12"/>
      <c r="AH55" s="12"/>
      <c r="AI55" s="12"/>
      <c r="AJ55" s="12"/>
      <c r="AK55" s="12"/>
      <c r="AL55" s="12"/>
    </row>
    <row r="56" spans="1:38" x14ac:dyDescent="0.25">
      <c r="A56" s="34"/>
      <c r="B56" s="11"/>
      <c r="C56" s="11"/>
      <c r="D56" s="11"/>
      <c r="E56" s="11" t="s">
        <v>36</v>
      </c>
      <c r="F56" s="11" t="s">
        <v>37</v>
      </c>
      <c r="G56" s="25"/>
      <c r="H56" s="11"/>
      <c r="I56" s="12"/>
      <c r="J56" s="12"/>
      <c r="K56" s="84" t="str">
        <f>IF(E30="","",E30)</f>
        <v/>
      </c>
      <c r="L56" s="84" t="str">
        <f t="shared" ref="L56" si="0">IF(G30="","",G30)</f>
        <v/>
      </c>
      <c r="M56" s="12" t="s">
        <v>63</v>
      </c>
      <c r="N56" s="9" t="b" cm="1">
        <f t="array" ref="N56">IF(OR(Table1[[#This Row],[Fra]]="",Table1[[#This Row],[Til]]=""),FALSE,
    SUMPRODUCT((Table1[[#This Row],[Fra]]&lt;=Table1[Til])*(Table1[[#This Row],[Til]]&gt;=Table1[Fra]))&gt;1)</f>
        <v>0</v>
      </c>
      <c r="O56" s="9" t="b" cm="1">
        <f t="array" ref="O56:O60">((Table1[[#This Row],[Fra]]&lt;Table1[Til]))</f>
        <v>0</v>
      </c>
      <c r="S56" s="12" t="b" cm="1">
        <f t="array" ref="S56:S60">Table1[[#This Row],[Til]]&gt;Table1[Fra]</f>
        <v>0</v>
      </c>
      <c r="T56" s="12" cm="1">
        <f t="array" ref="T56">SUMPRODUCT(_xlfn.ANCHORARRAY(O56)*_xlfn.ANCHORARRAY(S56))</f>
        <v>0</v>
      </c>
      <c r="U56" s="12" t="b">
        <f>T56&gt;1</f>
        <v>0</v>
      </c>
      <c r="V56" s="12"/>
      <c r="W56" s="12"/>
      <c r="X56" s="12"/>
      <c r="Y56" s="12"/>
      <c r="Z56" s="12"/>
      <c r="AA56" s="12"/>
      <c r="AB56" s="12"/>
      <c r="AC56" s="12"/>
      <c r="AD56" s="12"/>
      <c r="AE56" s="12"/>
      <c r="AF56" s="12"/>
      <c r="AG56" s="12"/>
      <c r="AH56" s="12"/>
      <c r="AI56" s="12"/>
      <c r="AJ56" s="12"/>
      <c r="AK56" s="12"/>
      <c r="AL56" s="12"/>
    </row>
    <row r="57" spans="1:38" x14ac:dyDescent="0.25">
      <c r="A57" s="34" t="s">
        <v>64</v>
      </c>
      <c r="B57" s="11"/>
      <c r="C57" s="11"/>
      <c r="D57" s="11"/>
      <c r="E57" s="160"/>
      <c r="F57" s="160"/>
      <c r="G57" s="25"/>
      <c r="H57" s="11"/>
      <c r="I57" s="12"/>
      <c r="J57" s="12"/>
      <c r="K57" s="84" t="str">
        <f t="shared" ref="K57:K60" si="1">IF(E57="","",E57)</f>
        <v/>
      </c>
      <c r="L57" s="84" t="str">
        <f>IF(F57="","",F57)</f>
        <v/>
      </c>
      <c r="M57" s="12" t="s">
        <v>65</v>
      </c>
      <c r="N57" s="9" t="b" cm="1">
        <f t="array" ref="N57">IF(OR(Table1[[#This Row],[Fra]]="",Table1[[#This Row],[Til]]=""),FALSE,
    SUMPRODUCT((Table1[[#This Row],[Fra]]&lt;=Table1[Til])*(Table1[[#This Row],[Til]]&gt;=Table1[Fra]))&gt;1)</f>
        <v>0</v>
      </c>
      <c r="O57" s="12" t="b">
        <v>0</v>
      </c>
      <c r="P57" s="12"/>
      <c r="Q57" s="12"/>
      <c r="R57" s="12"/>
      <c r="S57" s="12" t="b">
        <v>0</v>
      </c>
      <c r="T57" s="12"/>
      <c r="U57" s="12"/>
      <c r="V57" s="12"/>
      <c r="W57" s="12"/>
      <c r="X57" s="12"/>
      <c r="Y57" s="12"/>
      <c r="Z57" s="12"/>
      <c r="AA57" s="12"/>
      <c r="AB57" s="12"/>
      <c r="AC57" s="12"/>
      <c r="AD57" s="12"/>
      <c r="AE57" s="12"/>
      <c r="AF57" s="12"/>
      <c r="AG57" s="12"/>
      <c r="AH57" s="12"/>
      <c r="AI57" s="12"/>
      <c r="AJ57" s="12"/>
      <c r="AK57" s="12"/>
      <c r="AL57" s="12"/>
    </row>
    <row r="58" spans="1:38" x14ac:dyDescent="0.25">
      <c r="A58" s="34" t="s">
        <v>66</v>
      </c>
      <c r="B58" s="11"/>
      <c r="C58" s="11"/>
      <c r="D58" s="11"/>
      <c r="E58" s="160"/>
      <c r="F58" s="160"/>
      <c r="G58" s="25"/>
      <c r="H58" s="11"/>
      <c r="I58" s="12"/>
      <c r="J58" s="12"/>
      <c r="K58" s="84" t="str">
        <f t="shared" si="1"/>
        <v/>
      </c>
      <c r="L58" s="84" t="str">
        <f t="shared" ref="L58:L60" si="2">IF(F58="","",F58)</f>
        <v/>
      </c>
      <c r="M58" s="12" t="s">
        <v>65</v>
      </c>
      <c r="N58" s="9" t="b" cm="1">
        <f t="array" ref="N58">IF(OR(Table1[[#This Row],[Fra]]="",Table1[[#This Row],[Til]]=""),FALSE,
    SUMPRODUCT((Table1[[#This Row],[Fra]]&lt;=Table1[Til])*(Table1[[#This Row],[Til]]&gt;=Table1[Fra]))&gt;1)</f>
        <v>0</v>
      </c>
      <c r="O58" s="12" t="b">
        <v>0</v>
      </c>
      <c r="P58" s="12"/>
      <c r="Q58" s="12"/>
      <c r="R58" s="12"/>
      <c r="S58" s="12" t="b">
        <v>0</v>
      </c>
      <c r="T58" s="12"/>
      <c r="U58" s="12"/>
      <c r="V58" s="12"/>
      <c r="W58" s="12"/>
      <c r="X58" s="12"/>
      <c r="Y58" s="12"/>
      <c r="Z58" s="12"/>
      <c r="AA58" s="12"/>
      <c r="AB58" s="12"/>
      <c r="AC58" s="12"/>
      <c r="AD58" s="12"/>
      <c r="AE58" s="12"/>
      <c r="AF58" s="12"/>
      <c r="AG58" s="12"/>
      <c r="AH58" s="12"/>
      <c r="AI58" s="12"/>
      <c r="AJ58" s="12"/>
      <c r="AK58" s="12"/>
      <c r="AL58" s="12"/>
    </row>
    <row r="59" spans="1:38" x14ac:dyDescent="0.25">
      <c r="A59" s="34" t="s">
        <v>67</v>
      </c>
      <c r="B59" s="11"/>
      <c r="C59" s="11"/>
      <c r="D59" s="11"/>
      <c r="E59" s="160"/>
      <c r="F59" s="160"/>
      <c r="G59" s="25"/>
      <c r="H59" s="11"/>
      <c r="I59" s="12"/>
      <c r="J59" s="12"/>
      <c r="K59" s="84" t="str">
        <f t="shared" si="1"/>
        <v/>
      </c>
      <c r="L59" s="84" t="str">
        <f t="shared" si="2"/>
        <v/>
      </c>
      <c r="M59" s="12" t="s">
        <v>65</v>
      </c>
      <c r="N59" s="9" t="b" cm="1">
        <f t="array" ref="N59">IF(OR(Table1[[#This Row],[Fra]]="",Table1[[#This Row],[Til]]=""),FALSE,
    SUMPRODUCT((Table1[[#This Row],[Fra]]&lt;=Table1[Til])*(Table1[[#This Row],[Til]]&gt;=Table1[Fra]))&gt;1)</f>
        <v>0</v>
      </c>
      <c r="O59" s="12" t="b">
        <v>0</v>
      </c>
      <c r="P59" s="12"/>
      <c r="Q59" s="12"/>
      <c r="R59" s="12"/>
      <c r="S59" s="12" t="b">
        <v>0</v>
      </c>
      <c r="T59" s="12"/>
      <c r="U59" s="12"/>
      <c r="V59" s="12"/>
      <c r="W59" s="12"/>
      <c r="X59" s="12"/>
      <c r="Y59" s="12"/>
      <c r="Z59" s="12"/>
      <c r="AA59" s="12"/>
      <c r="AB59" s="12"/>
      <c r="AC59" s="12"/>
      <c r="AD59" s="12"/>
      <c r="AE59" s="12"/>
      <c r="AF59" s="12"/>
      <c r="AG59" s="12"/>
      <c r="AH59" s="12"/>
      <c r="AI59" s="12"/>
      <c r="AJ59" s="12"/>
      <c r="AK59" s="12"/>
      <c r="AL59" s="12"/>
    </row>
    <row r="60" spans="1:38" ht="15.75" thickBot="1" x14ac:dyDescent="0.3">
      <c r="A60" s="34" t="s">
        <v>68</v>
      </c>
      <c r="B60" s="11"/>
      <c r="C60" s="11"/>
      <c r="D60" s="11"/>
      <c r="E60" s="160"/>
      <c r="F60" s="160"/>
      <c r="G60" s="25"/>
      <c r="H60" s="11"/>
      <c r="I60" s="12"/>
      <c r="J60" s="12"/>
      <c r="K60" s="84" t="str">
        <f t="shared" si="1"/>
        <v/>
      </c>
      <c r="L60" s="84" t="str">
        <f t="shared" si="2"/>
        <v/>
      </c>
      <c r="M60" s="12" t="s">
        <v>65</v>
      </c>
      <c r="N60" s="9" t="b" cm="1">
        <f t="array" ref="N60">IF(OR(Table1[[#This Row],[Fra]]="",Table1[[#This Row],[Til]]=""),FALSE,
    SUMPRODUCT((Table1[[#This Row],[Fra]]&lt;=Table1[Til])*(Table1[[#This Row],[Til]]&gt;=Table1[Fra]))&gt;1)</f>
        <v>0</v>
      </c>
      <c r="O60" s="12" t="b">
        <v>0</v>
      </c>
      <c r="P60" s="12"/>
      <c r="Q60" s="12"/>
      <c r="R60" s="12"/>
      <c r="S60" s="12" t="b">
        <v>0</v>
      </c>
      <c r="T60" s="12"/>
      <c r="U60" s="12"/>
      <c r="V60" s="12"/>
      <c r="W60" s="12"/>
      <c r="X60" s="12"/>
      <c r="Y60" s="12"/>
      <c r="Z60" s="12"/>
      <c r="AA60" s="12"/>
      <c r="AB60" s="12"/>
      <c r="AC60" s="12"/>
      <c r="AD60" s="12"/>
      <c r="AE60" s="12"/>
      <c r="AF60" s="12"/>
      <c r="AG60" s="12"/>
      <c r="AH60" s="12"/>
      <c r="AI60" s="12"/>
      <c r="AJ60" s="12"/>
      <c r="AK60" s="12"/>
      <c r="AL60" s="12"/>
    </row>
    <row r="61" spans="1:38" ht="15.75" thickBot="1" x14ac:dyDescent="0.3">
      <c r="A61" s="34"/>
      <c r="B61" s="11"/>
      <c r="C61" s="11"/>
      <c r="D61" s="11"/>
      <c r="E61" s="11"/>
      <c r="F61" s="11"/>
      <c r="G61" s="25"/>
      <c r="H61" s="11"/>
      <c r="I61" s="12"/>
      <c r="J61" s="12"/>
      <c r="K61" s="84" t="s">
        <v>69</v>
      </c>
      <c r="L61" s="84"/>
      <c r="M61" s="12"/>
      <c r="N61" s="85" t="b">
        <f>IF(COUNTIF(N56:N60,TRUE)&gt;=1,TRUE,FALSE)</f>
        <v>0</v>
      </c>
      <c r="O61" s="12"/>
      <c r="P61" s="12"/>
      <c r="Q61" s="12"/>
      <c r="R61" s="12"/>
      <c r="S61" s="12"/>
      <c r="T61" s="12"/>
      <c r="U61" s="12"/>
      <c r="V61" s="12"/>
      <c r="W61" s="12"/>
      <c r="X61" s="12"/>
      <c r="Y61" s="12"/>
      <c r="Z61" s="12"/>
      <c r="AA61" s="12"/>
      <c r="AB61" s="12"/>
      <c r="AC61" s="12"/>
      <c r="AD61" s="12"/>
      <c r="AE61" s="12"/>
      <c r="AF61" s="12"/>
      <c r="AG61" s="12"/>
      <c r="AH61" s="12"/>
      <c r="AI61" s="12"/>
      <c r="AJ61" s="12"/>
      <c r="AK61" s="12"/>
      <c r="AL61" s="12"/>
    </row>
    <row r="62" spans="1:38" x14ac:dyDescent="0.25">
      <c r="A62" s="34"/>
      <c r="B62" s="11"/>
      <c r="C62" s="11"/>
      <c r="D62" s="11"/>
      <c r="E62" s="11"/>
      <c r="F62" s="11"/>
      <c r="G62" s="25"/>
      <c r="H62" s="11"/>
      <c r="I62" s="12"/>
      <c r="J62" s="12"/>
      <c r="K62" s="84"/>
      <c r="L62" s="84"/>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row>
    <row r="63" spans="1:38" ht="3.6" customHeight="1" x14ac:dyDescent="0.25">
      <c r="A63" s="24"/>
      <c r="B63" s="13"/>
      <c r="C63" s="13"/>
      <c r="D63" s="13"/>
      <c r="E63" s="13"/>
      <c r="F63" s="13"/>
      <c r="G63" s="75"/>
      <c r="H63" s="11"/>
      <c r="I63" s="12"/>
      <c r="J63" s="12"/>
      <c r="K63" s="84">
        <f t="shared" ref="K63:K64" si="3">E63</f>
        <v>0</v>
      </c>
      <c r="L63" s="84">
        <f t="shared" ref="L63:L64" si="4">F63</f>
        <v>0</v>
      </c>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row>
    <row r="64" spans="1:38" ht="3.95" customHeight="1" x14ac:dyDescent="0.25">
      <c r="A64" s="24"/>
      <c r="B64" s="13"/>
      <c r="C64" s="13"/>
      <c r="D64" s="13"/>
      <c r="E64" s="13"/>
      <c r="F64" s="13"/>
      <c r="G64" s="75"/>
      <c r="H64" s="11"/>
      <c r="I64" s="12"/>
      <c r="J64" s="12"/>
      <c r="K64" s="84">
        <f t="shared" si="3"/>
        <v>0</v>
      </c>
      <c r="L64" s="84">
        <f t="shared" si="4"/>
        <v>0</v>
      </c>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row>
    <row r="65" spans="1:38" ht="14.45" customHeight="1" x14ac:dyDescent="0.25">
      <c r="A65" s="406" t="s">
        <v>70</v>
      </c>
      <c r="B65" s="407"/>
      <c r="C65" s="407"/>
      <c r="D65" s="407"/>
      <c r="E65" s="407"/>
      <c r="F65" s="407"/>
      <c r="G65" s="408"/>
      <c r="H65" s="11"/>
      <c r="I65" s="12"/>
      <c r="J65" s="12"/>
      <c r="K65" s="84"/>
      <c r="L65" s="84"/>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row>
    <row r="66" spans="1:38" x14ac:dyDescent="0.25">
      <c r="A66" s="401"/>
      <c r="B66" s="402"/>
      <c r="C66" s="402"/>
      <c r="D66" s="402"/>
      <c r="E66" s="402"/>
      <c r="F66" s="402"/>
      <c r="G66" s="403"/>
      <c r="H66" s="11"/>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row>
    <row r="67" spans="1:38" x14ac:dyDescent="0.25">
      <c r="A67" s="409"/>
      <c r="B67" s="410"/>
      <c r="C67" s="410"/>
      <c r="D67" s="410"/>
      <c r="E67" s="410"/>
      <c r="F67" s="410"/>
      <c r="G67" s="411"/>
      <c r="H67" s="11"/>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row>
    <row r="68" spans="1:38" ht="36.6" customHeight="1" x14ac:dyDescent="0.25">
      <c r="A68" s="421" t="str">
        <f>IF(D23="Far / Medmor","skemaet skal være tomt for Far/medmor",
             IF(L30-MAX(F57:F60)=1,"Der er ingen slip mellem GG og barselsperioden i denne indtastning",
                       IF(L30-MAX(F57:F60)&gt;1,"Der er et slip mellem GG og barselsperioden i denne indtastning","")))</f>
        <v/>
      </c>
      <c r="B68" s="422"/>
      <c r="C68" s="422"/>
      <c r="D68" s="422"/>
      <c r="E68" s="422"/>
      <c r="F68" s="422"/>
      <c r="G68" s="423"/>
      <c r="H68" s="11"/>
      <c r="I68" s="12"/>
      <c r="J68" s="12"/>
      <c r="K68" s="86" t="str">
        <f>IF(D23="Far / Medmor",FALSE,
             IF(L30-MAX(F57:F60)=1,TRUE,
                       IF(L30-MAX(F57:F60)&gt;1,FALSE,"")))</f>
        <v/>
      </c>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row>
    <row r="69" spans="1:38" ht="6.6" customHeight="1" x14ac:dyDescent="0.25">
      <c r="A69" s="34"/>
      <c r="B69" s="11"/>
      <c r="C69" s="11"/>
      <c r="D69" s="11"/>
      <c r="E69" s="11"/>
      <c r="F69" s="11"/>
      <c r="G69" s="25"/>
      <c r="H69" s="11"/>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row>
    <row r="70" spans="1:38" ht="23.25" x14ac:dyDescent="0.35">
      <c r="A70" s="87" t="s">
        <v>71</v>
      </c>
      <c r="B70" s="11"/>
      <c r="C70" s="11"/>
      <c r="D70" s="11"/>
      <c r="E70" s="11"/>
      <c r="F70" s="11"/>
      <c r="G70" s="25"/>
      <c r="H70" s="11"/>
      <c r="I70" s="12"/>
      <c r="J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row>
    <row r="71" spans="1:38" x14ac:dyDescent="0.25">
      <c r="A71" s="67"/>
      <c r="B71" s="11"/>
      <c r="C71" s="11"/>
      <c r="D71" s="11"/>
      <c r="E71" s="11"/>
      <c r="F71" s="11"/>
      <c r="G71" s="25"/>
      <c r="H71" s="11"/>
      <c r="I71" s="12"/>
      <c r="J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row>
    <row r="72" spans="1:38" x14ac:dyDescent="0.25">
      <c r="A72" s="34" t="s">
        <v>72</v>
      </c>
      <c r="B72" s="11"/>
      <c r="C72" s="11"/>
      <c r="D72" s="11"/>
      <c r="E72" s="13"/>
      <c r="F72" s="6" t="s">
        <v>45</v>
      </c>
      <c r="G72" s="25"/>
      <c r="H72" s="11"/>
      <c r="I72" s="12"/>
      <c r="J72" s="12"/>
      <c r="K72" s="79" t="b">
        <f>IF(F72="Nej",FALSE,TRUE)</f>
        <v>0</v>
      </c>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row>
    <row r="73" spans="1:38" x14ac:dyDescent="0.25">
      <c r="A73" s="34" t="s">
        <v>73</v>
      </c>
      <c r="B73" s="11"/>
      <c r="C73" s="11"/>
      <c r="D73" s="11"/>
      <c r="E73" s="13"/>
      <c r="F73" s="7"/>
      <c r="G73" s="25"/>
      <c r="H73" s="11"/>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row>
    <row r="74" spans="1:38" ht="38.450000000000003" customHeight="1" x14ac:dyDescent="0.25">
      <c r="A74" s="401" t="str">
        <f>IF(F73&lt;&gt;"","Oplys alle deltidsfraværstimer per måned i nedenstående skema","")</f>
        <v/>
      </c>
      <c r="B74" s="402"/>
      <c r="C74" s="402"/>
      <c r="D74" s="402"/>
      <c r="E74" s="402"/>
      <c r="F74" s="402"/>
      <c r="G74" s="403"/>
      <c r="H74" s="11"/>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row>
    <row r="75" spans="1:38" ht="17.45" customHeight="1" x14ac:dyDescent="0.25">
      <c r="A75" s="34"/>
      <c r="B75" s="11"/>
      <c r="C75" s="11"/>
      <c r="D75" s="11"/>
      <c r="E75" s="11"/>
      <c r="F75" s="11"/>
      <c r="G75" s="25"/>
      <c r="H75" s="11"/>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row>
    <row r="76" spans="1:38" ht="16.5" hidden="1" customHeight="1" x14ac:dyDescent="0.25">
      <c r="A76" s="61" t="s">
        <v>74</v>
      </c>
      <c r="B76" s="57"/>
      <c r="C76" s="57"/>
      <c r="D76" s="57"/>
      <c r="E76" s="57"/>
      <c r="F76" s="57"/>
      <c r="G76" s="88"/>
      <c r="H76" s="11"/>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row>
    <row r="77" spans="1:38" ht="16.5" hidden="1" customHeight="1" x14ac:dyDescent="0.25">
      <c r="A77" s="89" t="s">
        <v>75</v>
      </c>
      <c r="B77" s="90"/>
      <c r="C77" s="91"/>
      <c r="D77" s="92" t="s">
        <v>76</v>
      </c>
      <c r="E77" s="175">
        <f>IF(G29="",E29+1-(4*7),G29+1-(4*7))</f>
        <v>-27</v>
      </c>
      <c r="F77" s="92" t="s">
        <v>77</v>
      </c>
      <c r="G77" s="93">
        <f>IF(G29="",E29+1-(8*7),G29+1-(8*7))</f>
        <v>-55</v>
      </c>
      <c r="H77" s="11"/>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row>
    <row r="78" spans="1:38" hidden="1" x14ac:dyDescent="0.25">
      <c r="A78" s="61" t="s">
        <v>78</v>
      </c>
      <c r="B78" s="57"/>
      <c r="C78" s="57"/>
      <c r="D78" s="57"/>
      <c r="E78" s="57" t="s">
        <v>79</v>
      </c>
      <c r="F78" s="57" t="s">
        <v>80</v>
      </c>
      <c r="G78" s="88"/>
      <c r="H78" s="11"/>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row>
    <row r="79" spans="1:38" hidden="1" x14ac:dyDescent="0.25">
      <c r="A79" s="94">
        <v>45292</v>
      </c>
      <c r="B79" s="95"/>
      <c r="C79" s="95"/>
      <c r="D79" s="95"/>
      <c r="E79" s="57">
        <f t="shared" ref="E79:E90" si="5">MONTH(A79)</f>
        <v>1</v>
      </c>
      <c r="F79" s="57">
        <f>SUM(IF(ISBLANK(BarselsfondenTilskud!$F$57),0,(MAX(0,NETWORKDAYS(MAX(0,$A79,BarselsfondenTilskud!$E$57),MIN(EOMONTH($A79,0),BarselsfondenTilskud!$F$57))))),IF(ISBLANK(BarselsfondenTilskud!$F$58),0,MAX(0,NETWORKDAYS(MAX(0,$A79,BarselsfondenTilskud!$E$58),MIN(EOMONTH($A79,0),BarselsfondenTilskud!$F$58)))),IF(ISBLANK(BarselsfondenTilskud!$F$59),0,MAX(0,NETWORKDAYS(MAX(0,$A79,BarselsfondenTilskud!$E$59),MIN(EOMONTH($A79,0),BarselsfondenTilskud!$F$59)))),IF(ISBLANK(BarselsfondenTilskud!$F$60),0,MAX(0,NETWORKDAYS(MAX(0,$A79,BarselsfondenTilskud!$E$60),MIN(EOMONTH($A79,0),BarselsfondenTilskud!$F$60)))))</f>
        <v>0</v>
      </c>
      <c r="G79" s="88"/>
      <c r="H79" s="11"/>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row>
    <row r="80" spans="1:38" hidden="1" x14ac:dyDescent="0.25">
      <c r="A80" s="94">
        <v>45323</v>
      </c>
      <c r="B80" s="95"/>
      <c r="C80" s="95"/>
      <c r="D80" s="95"/>
      <c r="E80" s="57">
        <f t="shared" si="5"/>
        <v>2</v>
      </c>
      <c r="F80" s="57">
        <f>SUM(IF(ISBLANK(BarselsfondenTilskud!$F$57),0,(MAX(0,NETWORKDAYS(MAX(0,$A80,BarselsfondenTilskud!$E$57),MIN(EOMONTH($A80,0),BarselsfondenTilskud!$F$57))))),IF(ISBLANK(BarselsfondenTilskud!$F$58),0,MAX(0,NETWORKDAYS(MAX(0,$A80,BarselsfondenTilskud!$E$58),MIN(EOMONTH($A80,0),BarselsfondenTilskud!$F$58)))),IF(ISBLANK(BarselsfondenTilskud!$F$59),0,MAX(0,NETWORKDAYS(MAX(0,$A80,BarselsfondenTilskud!$E$59),MIN(EOMONTH($A80,0),BarselsfondenTilskud!$F$59)))),IF(ISBLANK(BarselsfondenTilskud!$F$60),0,MAX(0,NETWORKDAYS(MAX(0,$A80,BarselsfondenTilskud!$E$60),MIN(EOMONTH($A80,0),BarselsfondenTilskud!$F$60)))))</f>
        <v>0</v>
      </c>
      <c r="G80" s="88"/>
      <c r="H80" s="11"/>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row>
    <row r="81" spans="1:38" hidden="1" x14ac:dyDescent="0.25">
      <c r="A81" s="94">
        <v>45352</v>
      </c>
      <c r="B81" s="95"/>
      <c r="C81" s="95"/>
      <c r="D81" s="95"/>
      <c r="E81" s="57">
        <f t="shared" si="5"/>
        <v>3</v>
      </c>
      <c r="F81" s="57">
        <f>SUM(IF(ISBLANK(BarselsfondenTilskud!$F$57),0,(MAX(0,NETWORKDAYS(MAX(0,$A81,BarselsfondenTilskud!$E$57),MIN(EOMONTH($A81,0),BarselsfondenTilskud!$F$57))))),IF(ISBLANK(BarselsfondenTilskud!$F$58),0,MAX(0,NETWORKDAYS(MAX(0,$A81,BarselsfondenTilskud!$E$58),MIN(EOMONTH($A81,0),BarselsfondenTilskud!$F$58)))),IF(ISBLANK(BarselsfondenTilskud!$F$59),0,MAX(0,NETWORKDAYS(MAX(0,$A81,BarselsfondenTilskud!$E$59),MIN(EOMONTH($A81,0),BarselsfondenTilskud!$F$59)))),IF(ISBLANK(BarselsfondenTilskud!$F$60),0,MAX(0,NETWORKDAYS(MAX(0,$A81,BarselsfondenTilskud!$E$60),MIN(EOMONTH($A81,0),BarselsfondenTilskud!$F$60)))))</f>
        <v>0</v>
      </c>
      <c r="G81" s="88"/>
      <c r="H81" s="11"/>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row>
    <row r="82" spans="1:38" hidden="1" x14ac:dyDescent="0.25">
      <c r="A82" s="94">
        <v>45383</v>
      </c>
      <c r="B82" s="95"/>
      <c r="C82" s="95"/>
      <c r="D82" s="95"/>
      <c r="E82" s="57">
        <f t="shared" si="5"/>
        <v>4</v>
      </c>
      <c r="F82" s="57">
        <f>SUM(IF(ISBLANK(BarselsfondenTilskud!$F$57),0,(MAX(0,NETWORKDAYS(MAX(0,$A82,BarselsfondenTilskud!$E$57),MIN(EOMONTH($A82,0),BarselsfondenTilskud!$F$57))))),IF(ISBLANK(BarselsfondenTilskud!$F$58),0,MAX(0,NETWORKDAYS(MAX(0,$A82,BarselsfondenTilskud!$E$58),MIN(EOMONTH($A82,0),BarselsfondenTilskud!$F$58)))),IF(ISBLANK(BarselsfondenTilskud!$F$59),0,MAX(0,NETWORKDAYS(MAX(0,$A82,BarselsfondenTilskud!$E$59),MIN(EOMONTH($A82,0),BarselsfondenTilskud!$F$59)))),IF(ISBLANK(BarselsfondenTilskud!$F$60),0,MAX(0,NETWORKDAYS(MAX(0,$A82,BarselsfondenTilskud!$E$60),MIN(EOMONTH($A82,0),BarselsfondenTilskud!$F$60)))))</f>
        <v>0</v>
      </c>
      <c r="G82" s="88"/>
      <c r="H82" s="11"/>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row>
    <row r="83" spans="1:38" hidden="1" x14ac:dyDescent="0.25">
      <c r="A83" s="94">
        <v>45413</v>
      </c>
      <c r="B83" s="95"/>
      <c r="C83" s="95"/>
      <c r="D83" s="95"/>
      <c r="E83" s="57">
        <f t="shared" si="5"/>
        <v>5</v>
      </c>
      <c r="F83" s="57">
        <f>SUM(IF(ISBLANK(BarselsfondenTilskud!$F$57),0,(MAX(0,NETWORKDAYS(MAX(0,$A83,BarselsfondenTilskud!$E$57),MIN(EOMONTH($A83,0),BarselsfondenTilskud!$F$57))))),IF(ISBLANK(BarselsfondenTilskud!$F$58),0,MAX(0,NETWORKDAYS(MAX(0,$A83,BarselsfondenTilskud!$E$58),MIN(EOMONTH($A83,0),BarselsfondenTilskud!$F$58)))),IF(ISBLANK(BarselsfondenTilskud!$F$59),0,MAX(0,NETWORKDAYS(MAX(0,$A83,BarselsfondenTilskud!$E$59),MIN(EOMONTH($A83,0),BarselsfondenTilskud!$F$59)))),IF(ISBLANK(BarselsfondenTilskud!$F$60),0,MAX(0,NETWORKDAYS(MAX(0,$A83,BarselsfondenTilskud!$E$60),MIN(EOMONTH($A83,0),BarselsfondenTilskud!$F$60)))))</f>
        <v>0</v>
      </c>
      <c r="G83" s="88"/>
      <c r="H83" s="11"/>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row>
    <row r="84" spans="1:38" hidden="1" x14ac:dyDescent="0.25">
      <c r="A84" s="94">
        <v>45444</v>
      </c>
      <c r="B84" s="95"/>
      <c r="C84" s="95"/>
      <c r="D84" s="95"/>
      <c r="E84" s="57">
        <f t="shared" si="5"/>
        <v>6</v>
      </c>
      <c r="F84" s="57">
        <f>SUM(IF(ISBLANK(BarselsfondenTilskud!$F$57),0,(MAX(0,NETWORKDAYS(MAX(0,$A84,BarselsfondenTilskud!$E$57),MIN(EOMONTH($A84,0),BarselsfondenTilskud!$F$57))))),IF(ISBLANK(BarselsfondenTilskud!$F$58),0,MAX(0,NETWORKDAYS(MAX(0,$A84,BarselsfondenTilskud!$E$58),MIN(EOMONTH($A84,0),BarselsfondenTilskud!$F$58)))),IF(ISBLANK(BarselsfondenTilskud!$F$59),0,MAX(0,NETWORKDAYS(MAX(0,$A84,BarselsfondenTilskud!$E$59),MIN(EOMONTH($A84,0),BarselsfondenTilskud!$F$59)))),IF(ISBLANK(BarselsfondenTilskud!$F$60),0,MAX(0,NETWORKDAYS(MAX(0,$A84,BarselsfondenTilskud!$E$60),MIN(EOMONTH($A84,0),BarselsfondenTilskud!$F$60)))))</f>
        <v>0</v>
      </c>
      <c r="G84" s="88"/>
      <c r="H84" s="11"/>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row>
    <row r="85" spans="1:38" hidden="1" x14ac:dyDescent="0.25">
      <c r="A85" s="94">
        <v>45474</v>
      </c>
      <c r="B85" s="95"/>
      <c r="C85" s="95"/>
      <c r="D85" s="95"/>
      <c r="E85" s="57">
        <f t="shared" si="5"/>
        <v>7</v>
      </c>
      <c r="F85" s="57">
        <f>SUM(IF(ISBLANK(BarselsfondenTilskud!$F$57),0,(MAX(0,NETWORKDAYS(MAX(0,$A85,BarselsfondenTilskud!$E$57),MIN(EOMONTH($A85,0),BarselsfondenTilskud!$F$57))))),IF(ISBLANK(BarselsfondenTilskud!$F$58),0,MAX(0,NETWORKDAYS(MAX(0,$A85,BarselsfondenTilskud!$E$58),MIN(EOMONTH($A85,0),BarselsfondenTilskud!$F$58)))),IF(ISBLANK(BarselsfondenTilskud!$F$59),0,MAX(0,NETWORKDAYS(MAX(0,$A85,BarselsfondenTilskud!$E$59),MIN(EOMONTH($A85,0),BarselsfondenTilskud!$F$59)))),IF(ISBLANK(BarselsfondenTilskud!$F$60),0,MAX(0,NETWORKDAYS(MAX(0,$A85,BarselsfondenTilskud!$E$60),MIN(EOMONTH($A85,0),BarselsfondenTilskud!$F$60)))))</f>
        <v>0</v>
      </c>
      <c r="G85" s="88"/>
      <c r="H85" s="11"/>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row>
    <row r="86" spans="1:38" hidden="1" x14ac:dyDescent="0.25">
      <c r="A86" s="94">
        <v>45505</v>
      </c>
      <c r="B86" s="95"/>
      <c r="C86" s="95"/>
      <c r="D86" s="95"/>
      <c r="E86" s="57">
        <f t="shared" si="5"/>
        <v>8</v>
      </c>
      <c r="F86" s="57">
        <f>SUM(IF(ISBLANK(BarselsfondenTilskud!$F$57),0,(MAX(0,NETWORKDAYS(MAX(0,$A86,BarselsfondenTilskud!$E$57),MIN(EOMONTH($A86,0),BarselsfondenTilskud!$F$57))))),IF(ISBLANK(BarselsfondenTilskud!$F$58),0,MAX(0,NETWORKDAYS(MAX(0,$A86,BarselsfondenTilskud!$E$58),MIN(EOMONTH($A86,0),BarselsfondenTilskud!$F$58)))),IF(ISBLANK(BarselsfondenTilskud!$F$59),0,MAX(0,NETWORKDAYS(MAX(0,$A86,BarselsfondenTilskud!$E$59),MIN(EOMONTH($A86,0),BarselsfondenTilskud!$F$59)))),IF(ISBLANK(BarselsfondenTilskud!$F$60),0,MAX(0,NETWORKDAYS(MAX(0,$A86,BarselsfondenTilskud!$E$60),MIN(EOMONTH($A86,0),BarselsfondenTilskud!$F$60)))))</f>
        <v>0</v>
      </c>
      <c r="G86" s="88"/>
      <c r="H86" s="11"/>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row>
    <row r="87" spans="1:38" hidden="1" x14ac:dyDescent="0.25">
      <c r="A87" s="94">
        <v>45536</v>
      </c>
      <c r="B87" s="95"/>
      <c r="C87" s="95"/>
      <c r="D87" s="95"/>
      <c r="E87" s="57">
        <f t="shared" si="5"/>
        <v>9</v>
      </c>
      <c r="F87" s="57">
        <f>SUM(IF(ISBLANK(BarselsfondenTilskud!$F$57),0,(MAX(0,NETWORKDAYS(MAX(0,$A87,BarselsfondenTilskud!$E$57),MIN(EOMONTH($A87,0),BarselsfondenTilskud!$F$57))))),IF(ISBLANK(BarselsfondenTilskud!$F$58),0,MAX(0,NETWORKDAYS(MAX(0,$A87,BarselsfondenTilskud!$E$58),MIN(EOMONTH($A87,0),BarselsfondenTilskud!$F$58)))),IF(ISBLANK(BarselsfondenTilskud!$F$59),0,MAX(0,NETWORKDAYS(MAX(0,$A87,BarselsfondenTilskud!$E$59),MIN(EOMONTH($A87,0),BarselsfondenTilskud!$F$59)))),IF(ISBLANK(BarselsfondenTilskud!$F$60),0,MAX(0,NETWORKDAYS(MAX(0,$A87,BarselsfondenTilskud!$E$60),MIN(EOMONTH($A87,0),BarselsfondenTilskud!$F$60)))))</f>
        <v>0</v>
      </c>
      <c r="G87" s="88"/>
      <c r="H87" s="11"/>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row>
    <row r="88" spans="1:38" hidden="1" x14ac:dyDescent="0.25">
      <c r="A88" s="94">
        <v>45566</v>
      </c>
      <c r="B88" s="95"/>
      <c r="C88" s="95"/>
      <c r="D88" s="95"/>
      <c r="E88" s="57">
        <f t="shared" si="5"/>
        <v>10</v>
      </c>
      <c r="F88" s="57">
        <f>SUM(IF(ISBLANK(BarselsfondenTilskud!$F$57),0,(MAX(0,NETWORKDAYS(MAX(0,$A88,BarselsfondenTilskud!$E$57),MIN(EOMONTH($A88,0),BarselsfondenTilskud!$F$57))))),IF(ISBLANK(BarselsfondenTilskud!$F$58),0,MAX(0,NETWORKDAYS(MAX(0,$A88,BarselsfondenTilskud!$E$58),MIN(EOMONTH($A88,0),BarselsfondenTilskud!$F$58)))),IF(ISBLANK(BarselsfondenTilskud!$F$59),0,MAX(0,NETWORKDAYS(MAX(0,$A88,BarselsfondenTilskud!$E$59),MIN(EOMONTH($A88,0),BarselsfondenTilskud!$F$59)))),IF(ISBLANK(BarselsfondenTilskud!$F$60),0,MAX(0,NETWORKDAYS(MAX(0,$A88,BarselsfondenTilskud!$E$60),MIN(EOMONTH($A88,0),BarselsfondenTilskud!$F$60)))))</f>
        <v>0</v>
      </c>
      <c r="G88" s="88"/>
      <c r="H88" s="11"/>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row>
    <row r="89" spans="1:38" hidden="1" x14ac:dyDescent="0.25">
      <c r="A89" s="94">
        <v>45597</v>
      </c>
      <c r="B89" s="95"/>
      <c r="C89" s="95"/>
      <c r="D89" s="95"/>
      <c r="E89" s="57">
        <f t="shared" si="5"/>
        <v>11</v>
      </c>
      <c r="F89" s="57">
        <f>SUM(IF(ISBLANK(BarselsfondenTilskud!$F$57),0,(MAX(0,NETWORKDAYS(MAX(0,$A89,BarselsfondenTilskud!$E$57),MIN(EOMONTH($A89,0),BarselsfondenTilskud!$F$57))))),IF(ISBLANK(BarselsfondenTilskud!$F$58),0,MAX(0,NETWORKDAYS(MAX(0,$A89,BarselsfondenTilskud!$E$58),MIN(EOMONTH($A89,0),BarselsfondenTilskud!$F$58)))),IF(ISBLANK(BarselsfondenTilskud!$F$59),0,MAX(0,NETWORKDAYS(MAX(0,$A89,BarselsfondenTilskud!$E$59),MIN(EOMONTH($A89,0),BarselsfondenTilskud!$F$59)))),IF(ISBLANK(BarselsfondenTilskud!$F$60),0,MAX(0,NETWORKDAYS(MAX(0,$A89,BarselsfondenTilskud!$E$60),MIN(EOMONTH($A89,0),BarselsfondenTilskud!$F$60)))))</f>
        <v>0</v>
      </c>
      <c r="G89" s="88"/>
      <c r="H89" s="11"/>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row>
    <row r="90" spans="1:38" hidden="1" x14ac:dyDescent="0.25">
      <c r="A90" s="94">
        <v>45627</v>
      </c>
      <c r="B90" s="95"/>
      <c r="C90" s="95"/>
      <c r="D90" s="95"/>
      <c r="E90" s="57">
        <f t="shared" si="5"/>
        <v>12</v>
      </c>
      <c r="F90" s="57">
        <f>SUM(IF(ISBLANK(BarselsfondenTilskud!$F$57),0,(MAX(0,NETWORKDAYS(MAX(0,$A90,BarselsfondenTilskud!$E$57),MIN(EOMONTH($A90,0),BarselsfondenTilskud!$F$57))))),IF(ISBLANK(BarselsfondenTilskud!$F$58),0,MAX(0,NETWORKDAYS(MAX(0,$A90,BarselsfondenTilskud!$E$58),MIN(EOMONTH($A90,0),BarselsfondenTilskud!$F$58)))),IF(ISBLANK(BarselsfondenTilskud!$F$59),0,MAX(0,NETWORKDAYS(MAX(0,$A90,BarselsfondenTilskud!$E$59),MIN(EOMONTH($A90,0),BarselsfondenTilskud!$F$59)))),IF(ISBLANK(BarselsfondenTilskud!$F$60),0,MAX(0,NETWORKDAYS(MAX(0,$A90,BarselsfondenTilskud!$E$60),MIN(EOMONTH($A90,0),BarselsfondenTilskud!$F$60)))))</f>
        <v>0</v>
      </c>
      <c r="G90" s="88"/>
      <c r="H90" s="11"/>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row>
    <row r="91" spans="1:38" hidden="1" x14ac:dyDescent="0.25">
      <c r="A91" s="61"/>
      <c r="B91" s="57"/>
      <c r="C91" s="57"/>
      <c r="D91" s="57"/>
      <c r="E91" s="57"/>
      <c r="F91" s="57">
        <f>SUM(F79:F90)</f>
        <v>0</v>
      </c>
      <c r="G91" s="88"/>
      <c r="H91" s="11"/>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row>
    <row r="92" spans="1:38" hidden="1" x14ac:dyDescent="0.25">
      <c r="A92" s="61"/>
      <c r="B92" s="57"/>
      <c r="C92" s="57"/>
      <c r="D92" s="57"/>
      <c r="E92" s="57"/>
      <c r="F92" s="57"/>
      <c r="G92" s="88"/>
      <c r="H92" s="11"/>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row>
    <row r="93" spans="1:38" hidden="1" x14ac:dyDescent="0.25">
      <c r="A93" s="96" t="s">
        <v>81</v>
      </c>
      <c r="B93" s="97"/>
      <c r="C93" s="97"/>
      <c r="D93" s="97"/>
      <c r="E93" s="97"/>
      <c r="F93" s="97"/>
      <c r="G93" s="88"/>
      <c r="H93" s="11"/>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row>
    <row r="94" spans="1:38" hidden="1" x14ac:dyDescent="0.25">
      <c r="A94" s="96" t="s">
        <v>82</v>
      </c>
      <c r="B94" s="97"/>
      <c r="C94" s="97"/>
      <c r="D94" s="97"/>
      <c r="E94" s="97"/>
      <c r="F94" s="97"/>
      <c r="G94" s="88"/>
      <c r="H94" s="11"/>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row>
    <row r="95" spans="1:38" hidden="1" x14ac:dyDescent="0.25">
      <c r="A95" s="180" t="s">
        <v>83</v>
      </c>
      <c r="B95" s="63"/>
      <c r="C95" s="99"/>
      <c r="D95" s="63"/>
      <c r="E95" s="97"/>
      <c r="F95" s="63"/>
      <c r="G95" s="88"/>
      <c r="H95" s="11"/>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row>
    <row r="96" spans="1:38" hidden="1" x14ac:dyDescent="0.25">
      <c r="A96" s="180"/>
      <c r="B96" s="63"/>
      <c r="C96" s="99"/>
      <c r="D96" s="63"/>
      <c r="E96" s="97"/>
      <c r="F96" s="63"/>
      <c r="G96" s="88"/>
      <c r="H96" s="11"/>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row>
    <row r="97" spans="1:38" hidden="1" x14ac:dyDescent="0.25">
      <c r="A97" s="96"/>
      <c r="B97" s="181" t="s">
        <v>84</v>
      </c>
      <c r="C97" s="182"/>
      <c r="D97" s="181" t="s">
        <v>85</v>
      </c>
      <c r="E97" s="97"/>
      <c r="F97" s="97" t="s">
        <v>41</v>
      </c>
      <c r="G97" s="88"/>
      <c r="H97" s="11"/>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row>
    <row r="98" spans="1:38" hidden="1" x14ac:dyDescent="0.25">
      <c r="A98" s="98" t="s">
        <v>86</v>
      </c>
      <c r="B98" s="420" t="e">
        <f>MONTH(B101)</f>
        <v>#VALUE!</v>
      </c>
      <c r="C98" s="420"/>
      <c r="D98" s="97">
        <f>MONTH(BarselsfondenTilskud!M30)</f>
        <v>1</v>
      </c>
      <c r="E98" s="97"/>
      <c r="F98" s="97" t="s">
        <v>87</v>
      </c>
      <c r="G98" s="88" t="s">
        <v>88</v>
      </c>
      <c r="H98" s="11"/>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row>
    <row r="99" spans="1:38" hidden="1" x14ac:dyDescent="0.25">
      <c r="A99" s="98" t="s">
        <v>89</v>
      </c>
      <c r="B99" s="100" t="e">
        <f>EOMONTH(B101,0)</f>
        <v>#VALUE!</v>
      </c>
      <c r="C99" s="99"/>
      <c r="D99" s="100">
        <f>EOMONTH(BarselsfondenTilskud!M30,0)</f>
        <v>31</v>
      </c>
      <c r="E99" s="97"/>
      <c r="F99" s="202">
        <f>E30</f>
        <v>0</v>
      </c>
      <c r="G99" s="203">
        <f>G30</f>
        <v>0</v>
      </c>
      <c r="H99" s="11"/>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row>
    <row r="100" spans="1:38" ht="15.75" hidden="1" thickBot="1" x14ac:dyDescent="0.3">
      <c r="A100" s="98" t="s">
        <v>90</v>
      </c>
      <c r="B100" s="177" t="e">
        <f>IF(K68,B135,B139)</f>
        <v>#VALUE!</v>
      </c>
      <c r="C100" s="99"/>
      <c r="D100" s="100">
        <f>BarselsfondenTilskud!M30</f>
        <v>0</v>
      </c>
      <c r="E100" s="97"/>
      <c r="F100" s="97" t="s">
        <v>91</v>
      </c>
      <c r="G100" s="88"/>
      <c r="H100" s="11"/>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row>
    <row r="101" spans="1:38" ht="15.75" hidden="1" thickBot="1" x14ac:dyDescent="0.3">
      <c r="A101" s="98" t="s">
        <v>92</v>
      </c>
      <c r="B101" s="219" t="e">
        <f xml:space="preserve"> IF(B100&lt;0,B100,
IF(B100&lt;=F99,F99,B100))</f>
        <v>#VALUE!</v>
      </c>
      <c r="C101" s="99"/>
      <c r="D101" s="100"/>
      <c r="E101" s="97"/>
      <c r="F101" s="176">
        <f>DATE(B8,1,1)</f>
        <v>45658</v>
      </c>
      <c r="G101" s="88"/>
      <c r="H101" s="11"/>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row>
    <row r="102" spans="1:38" hidden="1" x14ac:dyDescent="0.25">
      <c r="A102" s="98" t="s">
        <v>93</v>
      </c>
      <c r="B102" s="100" t="e">
        <f>DATE(YEAR(BarselsfondenTilskud!L30),B98, 1)</f>
        <v>#VALUE!</v>
      </c>
      <c r="C102" s="99"/>
      <c r="D102" s="100">
        <f>DATE(YEAR(BarselsfondenTilskud!$M$30),D98, 1)</f>
        <v>1</v>
      </c>
      <c r="E102" s="97"/>
      <c r="F102" s="97"/>
      <c r="G102" s="88"/>
      <c r="H102" s="11"/>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row>
    <row r="103" spans="1:38" hidden="1" x14ac:dyDescent="0.25">
      <c r="A103" s="208" t="s">
        <v>94</v>
      </c>
      <c r="B103" s="100"/>
      <c r="C103" s="99"/>
      <c r="D103" s="100"/>
      <c r="E103" s="97"/>
      <c r="F103" s="97"/>
      <c r="G103" s="88"/>
      <c r="H103" s="11"/>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row>
    <row r="104" spans="1:38" hidden="1" x14ac:dyDescent="0.25">
      <c r="A104" s="98" t="s">
        <v>95</v>
      </c>
      <c r="B104" s="100"/>
      <c r="C104" s="99"/>
      <c r="D104" s="100" t="e">
        <f>IF(B98=D98,TRUE,FALSE)</f>
        <v>#VALUE!</v>
      </c>
      <c r="E104" s="97"/>
      <c r="F104" s="97"/>
      <c r="G104" s="88"/>
      <c r="H104" s="11"/>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row>
    <row r="105" spans="1:38" hidden="1" x14ac:dyDescent="0.25">
      <c r="A105" s="98" t="s">
        <v>96</v>
      </c>
      <c r="B105" s="100"/>
      <c r="C105" s="99"/>
      <c r="D105" s="100" t="e">
        <f>IF(NETWORKDAYS(B101,D100)=NETWORKDAYS(B102,B99),FALSE,TRUE)</f>
        <v>#VALUE!</v>
      </c>
      <c r="E105" s="97"/>
      <c r="F105" s="97"/>
      <c r="G105" s="88"/>
      <c r="H105" s="11"/>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row>
    <row r="106" spans="1:38" hidden="1" x14ac:dyDescent="0.25">
      <c r="A106" s="98"/>
      <c r="B106" s="100"/>
      <c r="C106" s="99"/>
      <c r="D106" s="100"/>
      <c r="E106" s="97"/>
      <c r="F106" s="97"/>
      <c r="G106" s="88"/>
      <c r="H106" s="11"/>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row>
    <row r="107" spans="1:38" hidden="1" x14ac:dyDescent="0.25">
      <c r="A107" s="208" t="s">
        <v>97</v>
      </c>
      <c r="B107" s="100"/>
      <c r="C107" s="99"/>
      <c r="D107" s="100"/>
      <c r="E107" s="97"/>
      <c r="F107" s="97"/>
      <c r="G107" s="88"/>
      <c r="H107" s="11"/>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row>
    <row r="108" spans="1:38" hidden="1" x14ac:dyDescent="0.25">
      <c r="A108" s="98" t="s">
        <v>98</v>
      </c>
      <c r="B108" s="100" t="e">
        <f>IF(AND(D104=TRUE,D105=TRUE),TRUE,
IF(NETWORKDAYS(B99,B102)&lt;&gt;NETWORKDAYS(B99,B101),TRUE,FALSE))</f>
        <v>#VALUE!</v>
      </c>
      <c r="C108" s="99"/>
      <c r="D108" s="100" t="b">
        <f>IF(NETWORKDAYS(D99,D102)&lt;&gt;NETWORKDAYS(D100,D102),TRUE,FALSE)</f>
        <v>1</v>
      </c>
      <c r="E108" s="97" t="s">
        <v>59</v>
      </c>
      <c r="F108" s="97"/>
      <c r="G108" s="88"/>
      <c r="H108" s="11"/>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row>
    <row r="109" spans="1:38" hidden="1" x14ac:dyDescent="0.25">
      <c r="A109" s="98" t="s">
        <v>99</v>
      </c>
      <c r="B109" s="97" t="e">
        <f xml:space="preserve"> IF(B98&lt;&gt;D98,
NETWORKDAYS(B101,B99),
NETWORKDAYS(B101,D100))</f>
        <v>#VALUE!</v>
      </c>
      <c r="C109" s="99"/>
      <c r="D109" s="97" t="e">
        <f xml:space="preserve">
IF(D98&lt;&gt;B98,
NETWORKDAYS(D102,D100),
0)</f>
        <v>#VALUE!</v>
      </c>
      <c r="E109" s="97" t="e">
        <f>NETWORKDAYS(B102,B99)</f>
        <v>#VALUE!</v>
      </c>
      <c r="F109" s="97"/>
      <c r="G109" s="88"/>
      <c r="H109" s="11"/>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row>
    <row r="110" spans="1:38" hidden="1" x14ac:dyDescent="0.25">
      <c r="A110" s="98"/>
      <c r="B110" s="97"/>
      <c r="C110" s="99"/>
      <c r="D110" s="97"/>
      <c r="E110" s="97" t="e">
        <f>NETWORKDAYS(B101,B99)</f>
        <v>#VALUE!</v>
      </c>
      <c r="F110" s="97"/>
      <c r="G110" s="88"/>
      <c r="H110" s="11"/>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row>
    <row r="111" spans="1:38" ht="18.75" hidden="1" x14ac:dyDescent="0.3">
      <c r="A111" s="198" t="s">
        <v>100</v>
      </c>
      <c r="B111" s="193"/>
      <c r="C111" s="193"/>
      <c r="D111" s="193"/>
      <c r="E111" s="193"/>
      <c r="F111" s="193"/>
      <c r="G111" s="194"/>
      <c r="H111" s="11"/>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row>
    <row r="112" spans="1:38" hidden="1" x14ac:dyDescent="0.25">
      <c r="A112" s="199" t="s">
        <v>101</v>
      </c>
      <c r="B112" s="193"/>
      <c r="C112" s="193"/>
      <c r="D112" s="193"/>
      <c r="E112" s="193"/>
      <c r="F112" s="193"/>
      <c r="G112" s="194"/>
      <c r="H112" s="11"/>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row>
    <row r="113" spans="1:38" hidden="1" x14ac:dyDescent="0.25">
      <c r="A113" s="200"/>
      <c r="B113" s="193"/>
      <c r="C113" s="196"/>
      <c r="D113" s="193" t="s">
        <v>102</v>
      </c>
      <c r="E113" s="193" t="s">
        <v>37</v>
      </c>
      <c r="F113" s="193"/>
      <c r="G113" s="194"/>
      <c r="H113" s="11"/>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row>
    <row r="114" spans="1:38" hidden="1" x14ac:dyDescent="0.25">
      <c r="A114" s="195" t="s">
        <v>103</v>
      </c>
      <c r="B114" s="193"/>
      <c r="C114" s="196"/>
      <c r="D114" s="201">
        <f>E30</f>
        <v>0</v>
      </c>
      <c r="E114" s="201">
        <f>G30</f>
        <v>0</v>
      </c>
      <c r="F114" s="193"/>
      <c r="G114" s="194"/>
      <c r="H114" s="11"/>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row>
    <row r="115" spans="1:38" hidden="1" x14ac:dyDescent="0.25">
      <c r="A115" s="195" t="s">
        <v>104</v>
      </c>
      <c r="B115" s="193"/>
      <c r="C115" s="193"/>
      <c r="D115" s="193"/>
      <c r="E115" s="193"/>
      <c r="F115" s="193"/>
      <c r="G115" s="194"/>
      <c r="H115" s="11"/>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hidden="1" x14ac:dyDescent="0.25">
      <c r="A116" s="195"/>
      <c r="B116" s="193"/>
      <c r="C116" s="193"/>
      <c r="D116" s="193"/>
      <c r="E116" s="193"/>
      <c r="F116" s="193"/>
      <c r="G116" s="194"/>
      <c r="H116" s="11"/>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row>
    <row r="117" spans="1:38" hidden="1" x14ac:dyDescent="0.25">
      <c r="A117" s="195"/>
      <c r="B117" s="193"/>
      <c r="C117" s="193"/>
      <c r="D117" s="193"/>
      <c r="E117" s="193"/>
      <c r="F117" s="193"/>
      <c r="G117" s="194"/>
      <c r="H117" s="11"/>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row>
    <row r="118" spans="1:38" hidden="1" x14ac:dyDescent="0.25">
      <c r="A118" s="195"/>
      <c r="B118" s="193"/>
      <c r="C118" s="193"/>
      <c r="D118" s="193"/>
      <c r="E118" s="193"/>
      <c r="F118" s="193"/>
      <c r="G118" s="194"/>
      <c r="H118" s="11"/>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row>
    <row r="119" spans="1:38" hidden="1" x14ac:dyDescent="0.25">
      <c r="A119" s="195"/>
      <c r="B119" s="193"/>
      <c r="C119" s="193"/>
      <c r="D119" s="193"/>
      <c r="E119" s="193"/>
      <c r="F119" s="193"/>
      <c r="G119" s="194"/>
      <c r="H119" s="11"/>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row>
    <row r="120" spans="1:38" hidden="1" x14ac:dyDescent="0.25">
      <c r="A120" s="195"/>
      <c r="B120" s="193"/>
      <c r="C120" s="193"/>
      <c r="D120" s="193"/>
      <c r="E120" s="193"/>
      <c r="F120" s="193"/>
      <c r="G120" s="194"/>
      <c r="H120" s="11"/>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row>
    <row r="121" spans="1:38" hidden="1" x14ac:dyDescent="0.25">
      <c r="A121" s="195"/>
      <c r="B121" s="193"/>
      <c r="C121" s="193"/>
      <c r="D121" s="193"/>
      <c r="E121" s="193"/>
      <c r="F121" s="193"/>
      <c r="G121" s="194"/>
      <c r="H121" s="11"/>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row>
    <row r="122" spans="1:38" hidden="1" x14ac:dyDescent="0.25">
      <c r="A122" s="195"/>
      <c r="B122" s="193"/>
      <c r="C122" s="193"/>
      <c r="D122" s="193"/>
      <c r="E122" s="193"/>
      <c r="F122" s="193"/>
      <c r="G122" s="194"/>
      <c r="H122" s="11"/>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row>
    <row r="123" spans="1:38" hidden="1" x14ac:dyDescent="0.25">
      <c r="A123" s="195"/>
      <c r="B123" s="193"/>
      <c r="C123" s="193"/>
      <c r="D123" s="193"/>
      <c r="E123" s="193"/>
      <c r="F123" s="193"/>
      <c r="G123" s="194"/>
      <c r="H123" s="11"/>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row>
    <row r="124" spans="1:38" hidden="1" x14ac:dyDescent="0.25">
      <c r="A124" s="98"/>
      <c r="B124" s="97"/>
      <c r="C124" s="99"/>
      <c r="D124" s="97"/>
      <c r="E124" s="97"/>
      <c r="F124" s="97"/>
      <c r="G124" s="88"/>
      <c r="H124" s="11"/>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row>
    <row r="125" spans="1:38" hidden="1" x14ac:dyDescent="0.25">
      <c r="A125" s="98"/>
      <c r="B125" s="97"/>
      <c r="C125" s="97"/>
      <c r="D125" s="97"/>
      <c r="E125" s="97"/>
      <c r="F125" s="97"/>
      <c r="G125" s="88"/>
      <c r="H125" s="11"/>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row>
    <row r="126" spans="1:38" hidden="1" x14ac:dyDescent="0.25">
      <c r="A126" s="96" t="s">
        <v>105</v>
      </c>
      <c r="B126" s="97"/>
      <c r="C126" s="97"/>
      <c r="D126" s="97"/>
      <c r="E126" s="97"/>
      <c r="F126" s="97"/>
      <c r="G126" s="88"/>
      <c r="H126" s="11"/>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row>
    <row r="127" spans="1:38" hidden="1" x14ac:dyDescent="0.25">
      <c r="A127" s="96" t="s">
        <v>106</v>
      </c>
      <c r="B127" s="97"/>
      <c r="C127" s="97"/>
      <c r="D127" s="97"/>
      <c r="E127" s="97"/>
      <c r="F127" s="97"/>
      <c r="G127" s="88"/>
      <c r="H127" s="11"/>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row>
    <row r="128" spans="1:38" hidden="1" x14ac:dyDescent="0.25">
      <c r="A128" s="96"/>
      <c r="B128" s="97"/>
      <c r="C128" s="97"/>
      <c r="D128" s="97"/>
      <c r="E128" s="97"/>
      <c r="F128" s="97"/>
      <c r="G128" s="88"/>
      <c r="H128" s="11"/>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row>
    <row r="129" spans="1:38" hidden="1" x14ac:dyDescent="0.25">
      <c r="A129" s="98" t="s">
        <v>107</v>
      </c>
      <c r="B129" s="100">
        <f>MIN(BarselsfondenTilskud!L30,BarselsfondenTilskud!F73,BarselsfondenTilskud!E57:E60)</f>
        <v>0</v>
      </c>
      <c r="C129" s="97" t="s">
        <v>108</v>
      </c>
      <c r="D129" s="97" t="s">
        <v>109</v>
      </c>
      <c r="E129" s="97"/>
      <c r="F129" s="97"/>
      <c r="G129" s="88"/>
      <c r="H129" s="11"/>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row>
    <row r="130" spans="1:38" hidden="1" x14ac:dyDescent="0.25">
      <c r="A130" s="98" t="s">
        <v>110</v>
      </c>
      <c r="B130" s="100">
        <f>BarselsfondenTilskud!M30</f>
        <v>0</v>
      </c>
      <c r="C130" s="97"/>
      <c r="D130" s="97" t="s">
        <v>109</v>
      </c>
      <c r="E130" s="97"/>
      <c r="F130" s="97"/>
      <c r="G130" s="88"/>
      <c r="H130" s="11"/>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row>
    <row r="131" spans="1:38" hidden="1" x14ac:dyDescent="0.25">
      <c r="A131" s="98"/>
      <c r="B131" s="100"/>
      <c r="C131" s="97"/>
      <c r="D131" s="97"/>
      <c r="E131" s="97"/>
      <c r="F131" s="97"/>
      <c r="G131" s="88"/>
      <c r="H131" s="11"/>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row>
    <row r="132" spans="1:38" hidden="1" x14ac:dyDescent="0.25">
      <c r="A132" s="96" t="s">
        <v>111</v>
      </c>
      <c r="B132" s="100"/>
      <c r="C132" s="97"/>
      <c r="D132" s="97"/>
      <c r="E132" s="97"/>
      <c r="F132" s="97"/>
      <c r="G132" s="88"/>
      <c r="H132" s="11"/>
      <c r="I132" s="12" t="s">
        <v>112</v>
      </c>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row>
    <row r="133" spans="1:38" hidden="1" x14ac:dyDescent="0.25">
      <c r="A133" s="98" t="s">
        <v>113</v>
      </c>
      <c r="B133" s="100">
        <f>E29</f>
        <v>0</v>
      </c>
      <c r="C133" s="97"/>
      <c r="D133" s="97"/>
      <c r="E133" s="97"/>
      <c r="F133" s="97"/>
      <c r="G133" s="88"/>
      <c r="H133" s="11"/>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row>
    <row r="134" spans="1:38" hidden="1" x14ac:dyDescent="0.25">
      <c r="A134" s="98" t="s">
        <v>114</v>
      </c>
      <c r="B134" s="100">
        <f>BarselsfondenTilskud!E77</f>
        <v>-27</v>
      </c>
      <c r="C134" s="97"/>
      <c r="D134" s="97"/>
      <c r="E134" s="97" t="s">
        <v>115</v>
      </c>
      <c r="F134" s="97"/>
      <c r="G134" s="88"/>
      <c r="H134" s="11"/>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row>
    <row r="135" spans="1:38" hidden="1" x14ac:dyDescent="0.25">
      <c r="A135" s="98" t="s">
        <v>116</v>
      </c>
      <c r="B135" s="100">
        <f>G77</f>
        <v>-55</v>
      </c>
      <c r="C135" s="97"/>
      <c r="D135" s="97"/>
      <c r="E135" s="97" t="s">
        <v>117</v>
      </c>
      <c r="F135" s="97"/>
      <c r="G135" s="88"/>
      <c r="H135" s="11"/>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row>
    <row r="136" spans="1:38" hidden="1" x14ac:dyDescent="0.25">
      <c r="A136" s="98" t="s">
        <v>118</v>
      </c>
      <c r="B136" s="97"/>
      <c r="C136" s="97"/>
      <c r="D136" s="97"/>
      <c r="E136" s="97"/>
      <c r="F136" s="97"/>
      <c r="G136" s="88"/>
      <c r="H136" s="11"/>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row>
    <row r="137" spans="1:38" hidden="1" x14ac:dyDescent="0.25">
      <c r="A137" s="98" t="s">
        <v>119</v>
      </c>
      <c r="B137" s="63"/>
      <c r="C137" s="97"/>
      <c r="D137" s="97"/>
      <c r="E137" s="97"/>
      <c r="F137" s="97"/>
      <c r="G137" s="88"/>
      <c r="H137" s="11"/>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row>
    <row r="138" spans="1:38" hidden="1" x14ac:dyDescent="0.25">
      <c r="A138" s="98"/>
      <c r="B138" s="63"/>
      <c r="C138" s="97"/>
      <c r="D138" s="97"/>
      <c r="E138" s="97"/>
      <c r="F138" s="97"/>
      <c r="G138" s="88"/>
      <c r="H138" s="11"/>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row>
    <row r="139" spans="1:38" hidden="1" x14ac:dyDescent="0.25">
      <c r="A139" s="98"/>
      <c r="B139" s="100">
        <f>IF(B133&lt;B134,B133+1,B134)</f>
        <v>-27</v>
      </c>
      <c r="C139" s="97"/>
      <c r="D139" s="97"/>
      <c r="E139" s="97"/>
      <c r="F139" s="97"/>
      <c r="G139" s="88"/>
      <c r="H139" s="11"/>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row>
    <row r="140" spans="1:38" hidden="1" x14ac:dyDescent="0.25">
      <c r="A140" s="98"/>
      <c r="B140" s="100"/>
      <c r="C140" s="97"/>
      <c r="D140" s="97"/>
      <c r="E140" s="97"/>
      <c r="F140" s="97"/>
      <c r="G140" s="88"/>
      <c r="H140" s="11"/>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row>
    <row r="141" spans="1:38" hidden="1" x14ac:dyDescent="0.25">
      <c r="A141" s="96" t="s">
        <v>120</v>
      </c>
      <c r="B141" s="100"/>
      <c r="C141" s="97"/>
      <c r="D141" s="97"/>
      <c r="E141" s="97"/>
      <c r="F141" s="97"/>
      <c r="G141" s="88"/>
      <c r="H141" s="11"/>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row>
    <row r="142" spans="1:38" hidden="1" x14ac:dyDescent="0.25">
      <c r="A142" s="96"/>
      <c r="B142" s="97" t="s">
        <v>121</v>
      </c>
      <c r="C142" s="97" t="s">
        <v>85</v>
      </c>
      <c r="D142" s="97"/>
      <c r="E142" s="97"/>
      <c r="F142" s="97"/>
      <c r="G142" s="88"/>
      <c r="H142" s="11"/>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row>
    <row r="143" spans="1:38" hidden="1" x14ac:dyDescent="0.25">
      <c r="A143" s="98" t="s">
        <v>86</v>
      </c>
      <c r="B143" s="97">
        <f>MONTH(B145)</f>
        <v>1</v>
      </c>
      <c r="C143" s="97">
        <f>MONTH(BarselsfondenTilskud!$M$30)</f>
        <v>1</v>
      </c>
      <c r="D143" s="97"/>
      <c r="E143" s="97"/>
      <c r="F143" s="97"/>
      <c r="G143" s="88"/>
      <c r="H143" s="11"/>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row>
    <row r="144" spans="1:38" ht="15.75" hidden="1" thickBot="1" x14ac:dyDescent="0.3">
      <c r="A144" s="98" t="s">
        <v>89</v>
      </c>
      <c r="B144" s="100">
        <f>EOMONTH(B145,0)</f>
        <v>31</v>
      </c>
      <c r="C144" s="376">
        <f>EOMONTH(BarselsfondenTilskud!$M$30,0)</f>
        <v>31</v>
      </c>
      <c r="D144" s="376"/>
      <c r="E144" s="97"/>
      <c r="F144" s="97"/>
      <c r="G144" s="88"/>
      <c r="H144" s="11"/>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row>
    <row r="145" spans="1:38" ht="15.75" hidden="1" thickBot="1" x14ac:dyDescent="0.3">
      <c r="A145" s="209" t="s">
        <v>122</v>
      </c>
      <c r="B145" s="210">
        <f>BarselsfondenTilskud!L30</f>
        <v>0</v>
      </c>
      <c r="C145" s="374">
        <f>BarselsfondenTilskud!$M$30</f>
        <v>0</v>
      </c>
      <c r="D145" s="375"/>
      <c r="E145" s="97"/>
      <c r="F145" s="97"/>
      <c r="G145" s="88"/>
      <c r="H145" s="11"/>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row>
    <row r="146" spans="1:38" hidden="1" x14ac:dyDescent="0.25">
      <c r="A146" s="98" t="s">
        <v>93</v>
      </c>
      <c r="B146" s="100">
        <f>DATE(YEAR(BarselsfondenTilskud!$L$30),B143, 1)</f>
        <v>1</v>
      </c>
      <c r="C146" s="376">
        <f>DATE(YEAR(BarselsfondenTilskud!$M$30),C143, 1)</f>
        <v>1</v>
      </c>
      <c r="D146" s="376"/>
      <c r="E146" s="97"/>
      <c r="F146" s="97"/>
      <c r="G146" s="88"/>
      <c r="H146" s="11"/>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row>
    <row r="147" spans="1:38" hidden="1" x14ac:dyDescent="0.25">
      <c r="A147" s="208" t="s">
        <v>94</v>
      </c>
      <c r="B147" s="100"/>
      <c r="C147" s="207"/>
      <c r="D147" s="207"/>
      <c r="E147" s="97"/>
      <c r="F147" s="97"/>
      <c r="G147" s="88"/>
      <c r="H147" s="11"/>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row>
    <row r="148" spans="1:38" hidden="1" x14ac:dyDescent="0.25">
      <c r="A148" s="98" t="s">
        <v>95</v>
      </c>
      <c r="B148" s="100"/>
      <c r="C148" s="207"/>
      <c r="D148" s="207" t="b">
        <f>IF(B143=C143,TRUE,FALSE)</f>
        <v>1</v>
      </c>
      <c r="E148" s="97"/>
      <c r="F148" s="97"/>
      <c r="G148" s="88"/>
      <c r="H148" s="11"/>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row>
    <row r="149" spans="1:38" hidden="1" x14ac:dyDescent="0.25">
      <c r="A149" s="98" t="s">
        <v>96</v>
      </c>
      <c r="B149" s="100"/>
      <c r="C149" s="207"/>
      <c r="D149" s="207" t="b">
        <f>IF(NETWORKDAYS(B145,C145)=NETWORKDAYS(B146,B144),FALSE,TRUE)</f>
        <v>1</v>
      </c>
      <c r="E149" s="97"/>
      <c r="F149" s="97"/>
      <c r="G149" s="88"/>
      <c r="H149" s="11"/>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row>
    <row r="150" spans="1:38" hidden="1" x14ac:dyDescent="0.25">
      <c r="A150" s="98"/>
      <c r="B150" s="100"/>
      <c r="C150" s="207"/>
      <c r="D150" s="207"/>
      <c r="E150" s="97"/>
      <c r="F150" s="97"/>
      <c r="G150" s="88"/>
      <c r="H150" s="11"/>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row>
    <row r="151" spans="1:38" hidden="1" x14ac:dyDescent="0.25">
      <c r="A151" s="98" t="s">
        <v>98</v>
      </c>
      <c r="B151" s="211" t="b">
        <f>IF(AND(D148=TRUE,D149=TRUE),TRUE,
IF(NETWORKDAYS(B144,B146)&lt;&gt;NETWORKDAYS(B144,B145),TRUE,FALSE))</f>
        <v>1</v>
      </c>
      <c r="C151" s="342" t="b">
        <f>IF(NETWORKDAYS(C144,C146)&lt;&gt;NETWORKDAYS(C145,C146),TRUE,FALSE)</f>
        <v>1</v>
      </c>
      <c r="D151" s="342"/>
      <c r="E151" s="97"/>
      <c r="F151" s="97"/>
      <c r="G151" s="88"/>
      <c r="H151" s="11"/>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row>
    <row r="152" spans="1:38" hidden="1" x14ac:dyDescent="0.25">
      <c r="A152" s="98" t="s">
        <v>123</v>
      </c>
      <c r="B152" s="97">
        <f xml:space="preserve"> IF(B143&lt;&gt;C143,
NETWORKDAYS(B145,B144),
NETWORKDAYS(B145,C145))</f>
        <v>0</v>
      </c>
      <c r="C152" s="97">
        <f xml:space="preserve">
IF(B143&lt;&gt;C143,
NETWORKDAYS(C146,C145),
0)</f>
        <v>0</v>
      </c>
      <c r="D152" s="97"/>
      <c r="E152" s="97"/>
      <c r="F152" s="97"/>
      <c r="G152" s="88"/>
      <c r="H152" s="11"/>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row>
    <row r="153" spans="1:38" ht="15.75" x14ac:dyDescent="0.25">
      <c r="A153" s="101" t="s">
        <v>124</v>
      </c>
      <c r="B153" s="11"/>
      <c r="C153" s="11"/>
      <c r="D153" s="11"/>
      <c r="E153" s="11"/>
      <c r="F153" s="11"/>
      <c r="G153" s="25"/>
      <c r="H153" s="11"/>
      <c r="I153" s="12"/>
      <c r="J153" s="12"/>
      <c r="K153" s="12"/>
      <c r="L153" s="12"/>
      <c r="M153" s="12"/>
      <c r="N153" s="12"/>
      <c r="O153" s="12"/>
      <c r="S153" s="12"/>
      <c r="T153" s="12"/>
      <c r="U153" s="12"/>
      <c r="V153" s="12"/>
      <c r="W153" s="12"/>
      <c r="X153" s="12"/>
      <c r="Y153" s="12"/>
      <c r="Z153" s="12"/>
      <c r="AA153" s="12"/>
      <c r="AB153" s="12"/>
      <c r="AC153" s="12"/>
      <c r="AD153" s="12"/>
      <c r="AE153" s="12"/>
      <c r="AF153" s="12"/>
      <c r="AG153" s="12"/>
      <c r="AH153" s="12"/>
      <c r="AI153" s="12"/>
      <c r="AJ153" s="12"/>
      <c r="AK153" s="12"/>
      <c r="AL153" s="12"/>
    </row>
    <row r="154" spans="1:38" x14ac:dyDescent="0.25">
      <c r="A154" s="24"/>
      <c r="B154" s="11"/>
      <c r="C154" s="11"/>
      <c r="D154" s="11"/>
      <c r="E154" s="11"/>
      <c r="F154" s="11"/>
      <c r="G154" s="25"/>
      <c r="H154" s="11"/>
      <c r="I154" s="12"/>
      <c r="J154" s="12"/>
      <c r="K154" s="12"/>
      <c r="L154" s="12"/>
      <c r="M154" s="12"/>
      <c r="N154" s="12"/>
      <c r="O154" s="12"/>
      <c r="P154" s="12" t="s">
        <v>125</v>
      </c>
      <c r="Q154" s="12"/>
      <c r="R154" s="12"/>
      <c r="S154" s="12"/>
      <c r="T154" s="12"/>
      <c r="U154" s="12"/>
      <c r="V154" s="12"/>
      <c r="W154" s="12"/>
      <c r="X154" s="12"/>
      <c r="Y154" s="12"/>
      <c r="Z154" s="12"/>
      <c r="AA154" s="12"/>
      <c r="AB154" s="12"/>
      <c r="AC154" s="12"/>
      <c r="AD154" s="12"/>
      <c r="AE154" s="12"/>
      <c r="AF154" s="12"/>
      <c r="AG154" s="12"/>
      <c r="AH154" s="12"/>
      <c r="AI154" s="12"/>
      <c r="AJ154" s="12"/>
      <c r="AK154" s="12"/>
      <c r="AL154" s="12"/>
    </row>
    <row r="155" spans="1:38" ht="19.5" thickBot="1" x14ac:dyDescent="0.35">
      <c r="A155" s="360" t="s">
        <v>126</v>
      </c>
      <c r="B155" s="361"/>
      <c r="C155" s="361"/>
      <c r="D155" s="361"/>
      <c r="E155" s="361"/>
      <c r="F155" s="361"/>
      <c r="G155" s="102"/>
      <c r="H155" s="11"/>
      <c r="I155" s="12"/>
      <c r="J155" s="12"/>
      <c r="K155" s="12"/>
      <c r="L155" s="12"/>
      <c r="M155" s="12"/>
      <c r="N155" s="12"/>
      <c r="O155" s="12"/>
      <c r="P155" s="290" t="s">
        <v>127</v>
      </c>
      <c r="Q155" s="290"/>
      <c r="R155" s="290"/>
      <c r="S155" s="12"/>
      <c r="T155" s="12"/>
      <c r="U155" s="12"/>
      <c r="V155" s="12"/>
      <c r="W155" s="12"/>
      <c r="X155" s="12"/>
      <c r="Y155" s="12"/>
      <c r="Z155" s="12"/>
      <c r="AA155" s="12"/>
      <c r="AB155" s="12"/>
      <c r="AC155" s="12"/>
      <c r="AD155" s="12"/>
      <c r="AE155" s="12"/>
      <c r="AF155" s="12"/>
      <c r="AG155" s="12"/>
      <c r="AH155" s="12"/>
      <c r="AI155" s="12"/>
      <c r="AJ155" s="12"/>
      <c r="AK155" s="12"/>
      <c r="AL155" s="12"/>
    </row>
    <row r="156" spans="1:38" ht="19.5" thickBot="1" x14ac:dyDescent="0.35">
      <c r="A156" s="24"/>
      <c r="B156" s="343" t="s">
        <v>128</v>
      </c>
      <c r="C156" s="344"/>
      <c r="D156" s="344"/>
      <c r="E156" s="344" t="s">
        <v>129</v>
      </c>
      <c r="F156" s="344"/>
      <c r="G156" s="25"/>
      <c r="K156" s="103" t="s">
        <v>130</v>
      </c>
      <c r="L156" s="104" t="s">
        <v>131</v>
      </c>
      <c r="M156" s="104"/>
      <c r="N156" s="104"/>
      <c r="O156" s="104"/>
      <c r="P156" s="287" t="s">
        <v>132</v>
      </c>
      <c r="Q156" s="288"/>
      <c r="R156" s="289"/>
      <c r="S156" s="105"/>
      <c r="T156" s="106" t="s">
        <v>133</v>
      </c>
      <c r="U156" s="106"/>
      <c r="V156" s="106"/>
      <c r="W156" s="107"/>
      <c r="X156" s="108"/>
      <c r="Y156" s="109"/>
      <c r="Z156" s="109"/>
      <c r="AA156" s="110"/>
      <c r="AB156" s="105" t="s">
        <v>134</v>
      </c>
      <c r="AC156" s="105"/>
      <c r="AD156" s="105"/>
      <c r="AE156" s="105"/>
      <c r="AF156" s="105"/>
      <c r="AG156" s="105"/>
      <c r="AH156" s="105"/>
      <c r="AI156" s="105"/>
      <c r="AJ156" s="105"/>
      <c r="AK156" s="111" t="s">
        <v>135</v>
      </c>
      <c r="AL156" s="9" t="s">
        <v>136</v>
      </c>
    </row>
    <row r="157" spans="1:38" ht="15.75" thickBot="1" x14ac:dyDescent="0.3">
      <c r="A157" s="24" t="str">
        <f>IF(S158="","",TEXT(DATE(YEAR(BarselsfondenTilskud!$L$30), S158, 1), "mmmm"))</f>
        <v>januar</v>
      </c>
      <c r="B157" s="345"/>
      <c r="C157" s="346"/>
      <c r="D157" s="346"/>
      <c r="E157" s="291" t="str">
        <f>IF(B157="","",BarselsfondenTilskud!$L$2*BarselsfondenTilskud!B157)</f>
        <v/>
      </c>
      <c r="F157" s="291"/>
      <c r="G157" s="25"/>
      <c r="K157" s="112" t="s">
        <v>137</v>
      </c>
      <c r="L157" s="113" t="s">
        <v>138</v>
      </c>
      <c r="M157" s="113" t="s">
        <v>139</v>
      </c>
      <c r="N157" s="113" t="s">
        <v>140</v>
      </c>
      <c r="O157" s="113" t="s">
        <v>141</v>
      </c>
      <c r="P157" s="204" t="s">
        <v>142</v>
      </c>
      <c r="Q157" s="206" t="s">
        <v>143</v>
      </c>
      <c r="R157" s="205" t="s">
        <v>144</v>
      </c>
      <c r="S157" s="114" t="s">
        <v>145</v>
      </c>
      <c r="T157" s="115" t="s">
        <v>146</v>
      </c>
      <c r="U157" s="115" t="s">
        <v>147</v>
      </c>
      <c r="V157" s="115" t="s">
        <v>148</v>
      </c>
      <c r="W157" s="116" t="s">
        <v>149</v>
      </c>
      <c r="X157" s="117" t="s">
        <v>150</v>
      </c>
      <c r="Y157" s="114" t="s">
        <v>151</v>
      </c>
      <c r="Z157" s="114" t="s">
        <v>152</v>
      </c>
      <c r="AA157" s="118" t="s">
        <v>153</v>
      </c>
      <c r="AB157" s="114" t="s">
        <v>154</v>
      </c>
      <c r="AC157" s="119" t="s">
        <v>155</v>
      </c>
      <c r="AD157" s="119" t="s">
        <v>156</v>
      </c>
      <c r="AE157" s="114" t="s">
        <v>157</v>
      </c>
      <c r="AF157" s="114" t="s">
        <v>158</v>
      </c>
      <c r="AG157" s="114" t="s">
        <v>159</v>
      </c>
      <c r="AH157" s="114" t="s">
        <v>160</v>
      </c>
      <c r="AI157" s="114" t="s">
        <v>161</v>
      </c>
      <c r="AJ157" s="114" t="s">
        <v>162</v>
      </c>
      <c r="AK157" s="120" t="s">
        <v>163</v>
      </c>
      <c r="AL157" s="188" t="s">
        <v>164</v>
      </c>
    </row>
    <row r="158" spans="1:38" x14ac:dyDescent="0.25">
      <c r="A158" s="24" t="str">
        <f>IF(S159="","",TEXT(DATE(YEAR(BarselsfondenTilskud!$L$30), S159, 1), "mmmm"))</f>
        <v/>
      </c>
      <c r="B158" s="292"/>
      <c r="C158" s="293"/>
      <c r="D158" s="293"/>
      <c r="E158" s="291" t="str">
        <f>IF(B158="","",BarselsfondenTilskud!$L$2*BarselsfondenTilskud!B158)</f>
        <v/>
      </c>
      <c r="F158" s="291"/>
      <c r="G158" s="25"/>
      <c r="K158" s="121">
        <f t="shared" ref="K158:K169" si="6">IF(C179&lt;&gt;"",MIN(C179/37,1),IF(S158&lt;&gt;"",$M$39,""))</f>
        <v>1</v>
      </c>
      <c r="L158" s="122" t="str">
        <f>IF(OR(X158="",X158=0),"",
IF(X158=AJ158,$L$3*K158,AE158*$L$2*X158))</f>
        <v/>
      </c>
      <c r="M158" s="122" t="e">
        <f t="shared" ref="M158:M169" si="7">IF(AND(AB158,AC158,AD158="Start"),$B$109*AE158*$L$2,
      IF(AND(AB158,AC158,AD158="Slut"),$D$109*AE158*$L$2,""))</f>
        <v>#VALUE!</v>
      </c>
      <c r="N158" s="123" t="e">
        <f>IF(AC158="","",
      IF(AND(AB158,NOT(AC158)),$L$3*K158,""))</f>
        <v>#VALUE!</v>
      </c>
      <c r="O158" s="191" t="e">
        <f>IF(S158="","",
       IF(Z158=TRUE,$L$3,
            SUM(L158:N158)))</f>
        <v>#VALUE!</v>
      </c>
      <c r="P158" s="189" t="e">
        <f>IF(AND(AB158,AC158,AD158="Start"),$B$109,
      IF(AND(AB158,AC158,AD158="Slut"),$D$109,
          IF(ISBLANK(S158),"",AJ158)))</f>
        <v>#VALUE!</v>
      </c>
      <c r="Q158" s="197" t="e">
        <f>IF(AE158="","",P158*AE158)</f>
        <v>#VALUE!</v>
      </c>
      <c r="R158" s="189" t="e">
        <f>IF(Q158="","",Q158*$L$2)</f>
        <v>#VALUE!</v>
      </c>
      <c r="S158" s="58">
        <f>IF(BarselsfondenTilskud!L30="","",MONTH(BarselsfondenTilskud!B129))</f>
        <v>1</v>
      </c>
      <c r="T158" s="124" t="e">
        <f>IF(OR(S158="",U158=FALSE),"",
      IF(V158,W158*AF158*AE158,""))</f>
        <v>#VALUE!</v>
      </c>
      <c r="U158" s="125" t="b">
        <f>IF(S158=BarselsfondenTilskud!$B$143,BarselsfondenTilskud!$B$151,
      IF(S158=BarselsfondenTilskud!$C$143,BarselsfondenTilskud!$C$151,
          IF(S158="","",FALSE)))</f>
        <v>1</v>
      </c>
      <c r="V158" s="125" t="b">
        <f>IF(S158="","",
       AND(S158&gt;=BarselsfondenTilskud!$B$143,S158&lt;=BarselsfondenTilskud!$C$143))</f>
        <v>1</v>
      </c>
      <c r="W158" s="126">
        <f>IF(AND(U158,S158=BarselsfondenTilskud!$B$143),BarselsfondenTilskud!$B$152,
IF(AND(U158,S158=BarselsfondenTilskud!$C$143),BarselsfondenTilskud!$C$152,0))</f>
        <v>0</v>
      </c>
      <c r="X158" s="127">
        <f t="shared" ref="X158:X169" si="8">IF(S158="","",VLOOKUP(S158,$E$79:$F$90,2,FALSE))</f>
        <v>0</v>
      </c>
      <c r="Y158" s="128" t="e">
        <f>IF(S158="","",B157*AF158)</f>
        <v>#VALUE!</v>
      </c>
      <c r="Z158" s="128" t="e">
        <f t="shared" ref="Z158:Z169" si="9">IF(S158="","",
       IF(AND(X158+W158 = AJ158,AD158="Start"), TRUE, FALSE))</f>
        <v>#VALUE!</v>
      </c>
      <c r="AA158" s="129" t="e">
        <f t="shared" ref="AA158:AA169" si="10">IF(S158="","",
      (X158*AF158*AE158))</f>
        <v>#VALUE!</v>
      </c>
      <c r="AB158" s="127" t="e">
        <f>IF(S158="","",AND(S158&gt;=BarselsfondenTilskud!$B$98,S158&lt;=BarselsfondenTilskud!$D$98))</f>
        <v>#VALUE!</v>
      </c>
      <c r="AC158" s="127" t="e">
        <f>IF(S158="","",IF(AB158,IF(S158=BarselsfondenTilskud!$B$98,BarselsfondenTilskud!$B$108,IF(S158=BarselsfondenTilskud!$D$98,BarselsfondenTilskud!$D$108,FALSE)),FALSE))</f>
        <v>#VALUE!</v>
      </c>
      <c r="AD158" s="127" t="e">
        <f>IF(S158="","",
     IF(S158=BarselsfondenTilskud!$B$98,"Start",
           IF(S158&lt;BarselsfondenTilskud!$D$98,"mellemperiode",
                IF(S158=BarselsfondenTilskud!$D$98,"Slut","Noget gik galt")
)))</f>
        <v>#VALUE!</v>
      </c>
      <c r="AE158" s="183" t="e">
        <f t="shared" ref="AE158:AE169" si="11">IF(S158="","",IF(AC158="","",(K158*37)/5))</f>
        <v>#VALUE!</v>
      </c>
      <c r="AF158" s="179" t="e">
        <f>IF(S158="","",G179/(AE158*AJ158))</f>
        <v>#VALUE!</v>
      </c>
      <c r="AG158" s="128">
        <f t="shared" ref="AG158:AG169" si="12">IF(S158="","",(G179*12)/1924)</f>
        <v>0</v>
      </c>
      <c r="AH158" s="130">
        <f>IF(S158="","",DATE(YEAR(BarselsfondenTilskud!$L$30),S158,1))</f>
        <v>1</v>
      </c>
      <c r="AI158" s="130">
        <f t="shared" ref="AI158:AI169" si="13">IF(S158="","",EOMONTH(AH158,0))</f>
        <v>31</v>
      </c>
      <c r="AJ158" s="127">
        <f t="shared" ref="AJ158:AJ169" si="14">IF(S158="","",NETWORKDAYS(AH158,AI158))</f>
        <v>22</v>
      </c>
      <c r="AK158" s="127" t="e">
        <f t="shared" ref="AK158:AK169" si="15">IF(E179&gt;G179,TRUE,FALSE)</f>
        <v>#VALUE!</v>
      </c>
      <c r="AL158" s="12"/>
    </row>
    <row r="159" spans="1:38" x14ac:dyDescent="0.25">
      <c r="A159" s="24" t="str">
        <f>IF(S160="","",TEXT(DATE(YEAR(BarselsfondenTilskud!$L$30), S160, 1), "mmmm"))</f>
        <v/>
      </c>
      <c r="B159" s="292"/>
      <c r="C159" s="293"/>
      <c r="D159" s="293"/>
      <c r="E159" s="291" t="str">
        <f>IF(B159="","",BarselsfondenTilskud!$L$2*BarselsfondenTilskud!B159)</f>
        <v/>
      </c>
      <c r="F159" s="291"/>
      <c r="G159" s="25"/>
      <c r="K159" s="121" t="str">
        <f t="shared" si="6"/>
        <v/>
      </c>
      <c r="L159" s="122" t="str">
        <f>IF(OR(X159="",X159=0),"",
IF(X159=AJ159,$L$3*K159,AE159*$L$2*X159))</f>
        <v/>
      </c>
      <c r="M159" s="122" t="str">
        <f t="shared" si="7"/>
        <v/>
      </c>
      <c r="N159" s="123" t="str">
        <f>IF(AC159="","",
      IF(AND(AB159,NOT(AC159)),BarselsfondenTilskud!$L$3*K159,""))</f>
        <v/>
      </c>
      <c r="O159" s="191" t="str">
        <f>IF(S159="","",
       IF(Z159=TRUE,BarselsfondenTilskud!$L$3,
            SUM(L159:N159)))</f>
        <v/>
      </c>
      <c r="P159" s="189" t="str">
        <f t="shared" ref="P159:P169" si="16">IF(AND(AB159,AC159,AD159="Start"),$B$109,
      IF(AND(AB159,AC159,AD159="Slut"),$D$109,
          IF(ISBLANK(S159),"",AJ159)))</f>
        <v/>
      </c>
      <c r="Q159" s="197" t="str">
        <f t="shared" ref="Q159:Q169" si="17">IF(AE159="","",P159*AE159)</f>
        <v/>
      </c>
      <c r="R159" s="189" t="str">
        <f t="shared" ref="R159:R169" si="18">IF(Q159="","",Q159*$L$2)</f>
        <v/>
      </c>
      <c r="S159" s="58" t="str">
        <f>IF(S158="","",IF(S158+1&gt;MONTH(BarselsfondenTilskud!$B$130),"",S158+1))</f>
        <v/>
      </c>
      <c r="T159" s="124" t="str">
        <f t="shared" ref="T159:T169" si="19">IF(OR(S159="",U159=FALSE),"",
      IF(V159,W159*AF159*AE159,""))</f>
        <v/>
      </c>
      <c r="U159" s="125" t="str">
        <f>IF(S159=BarselsfondenTilskud!$B$143,BarselsfondenTilskud!$B$151,
      IF(S159=BarselsfondenTilskud!$C$143,BarselsfondenTilskud!$C$151,
          IF(S159="","",FALSE)))</f>
        <v/>
      </c>
      <c r="V159" s="125" t="str">
        <f>IF(S159="","",
       AND(S159&gt;=BarselsfondenTilskud!$B$143,S159&lt;=BarselsfondenTilskud!$C$143))</f>
        <v/>
      </c>
      <c r="W159" s="126">
        <f>IF(AND(U159,S159=BarselsfondenTilskud!$B$143),BarselsfondenTilskud!$B$152,
IF(AND(U159,S159=BarselsfondenTilskud!$C$143),BarselsfondenTilskud!$C$152,0))</f>
        <v>0</v>
      </c>
      <c r="X159" s="127" t="str">
        <f>IF(S159="","",VLOOKUP(S159,$E$79:$F$90,2,FALSE))</f>
        <v/>
      </c>
      <c r="Y159" s="128" t="str">
        <f>IF(S159="","",B158*AF159)</f>
        <v/>
      </c>
      <c r="Z159" s="128" t="str">
        <f t="shared" si="9"/>
        <v/>
      </c>
      <c r="AA159" s="129" t="str">
        <f t="shared" si="10"/>
        <v/>
      </c>
      <c r="AB159" s="127" t="str">
        <f>IF(S159="","",AND(S159&gt;=BarselsfondenTilskud!$B$98,S159&lt;=BarselsfondenTilskud!$D$98))</f>
        <v/>
      </c>
      <c r="AC159" s="127" t="str">
        <f>IF(S159="","",IF(AB159,IF(S159=BarselsfondenTilskud!$B$98,BarselsfondenTilskud!$B$108,IF(S159=BarselsfondenTilskud!$D$98,BarselsfondenTilskud!$D$108,FALSE)),FALSE))</f>
        <v/>
      </c>
      <c r="AD159" s="127" t="str">
        <f>IF(S159="","",
     IF(S159=BarselsfondenTilskud!$B$98,"Start",
           IF(S159&lt;BarselsfondenTilskud!$D$98,"mellemperiode",
                IF(S159=BarselsfondenTilskud!$D$98,"Slut","Noget gik galt")
)))</f>
        <v/>
      </c>
      <c r="AE159" s="183" t="str">
        <f t="shared" si="11"/>
        <v/>
      </c>
      <c r="AF159" s="178" t="str">
        <f t="shared" ref="AF159:AF169" si="20">IF(S159="","",G180/(AE159*AJ159))</f>
        <v/>
      </c>
      <c r="AG159" s="128" t="str">
        <f t="shared" si="12"/>
        <v/>
      </c>
      <c r="AH159" s="130" t="str">
        <f>IF(S159="","",DATE(YEAR(BarselsfondenTilskud!$L$30),S159,1))</f>
        <v/>
      </c>
      <c r="AI159" s="130" t="str">
        <f t="shared" si="13"/>
        <v/>
      </c>
      <c r="AJ159" s="127" t="str">
        <f t="shared" si="14"/>
        <v/>
      </c>
      <c r="AK159" s="127" t="b">
        <f t="shared" si="15"/>
        <v>0</v>
      </c>
      <c r="AL159" s="12"/>
    </row>
    <row r="160" spans="1:38" x14ac:dyDescent="0.25">
      <c r="A160" s="24" t="str">
        <f>IF(S161="","",TEXT(DATE(YEAR(BarselsfondenTilskud!$L$30), S161, 1), "mmmm"))</f>
        <v/>
      </c>
      <c r="B160" s="292"/>
      <c r="C160" s="293"/>
      <c r="D160" s="293"/>
      <c r="E160" s="291" t="str">
        <f>IF(B160="","",BarselsfondenTilskud!$L$2*BarselsfondenTilskud!B160)</f>
        <v/>
      </c>
      <c r="F160" s="291"/>
      <c r="G160" s="25"/>
      <c r="K160" s="121" t="str">
        <f t="shared" si="6"/>
        <v/>
      </c>
      <c r="L160" s="122" t="str">
        <f t="shared" ref="L160:L169" si="21">IF(OR(X160="",X160=0),"",
IF(X160=AJ160,$L$3*K160,AE160*$L$2*X160))</f>
        <v/>
      </c>
      <c r="M160" s="122" t="str">
        <f t="shared" si="7"/>
        <v/>
      </c>
      <c r="N160" s="123" t="str">
        <f>IF(AC160="","",
      IF(AND(AB160,NOT(AC160)),BarselsfondenTilskud!$L$3*K160,""))</f>
        <v/>
      </c>
      <c r="O160" s="191" t="str">
        <f>IF(S160="","",
       IF(Z160=TRUE,BarselsfondenTilskud!$L$3,
            SUM(L160:N160)))</f>
        <v/>
      </c>
      <c r="P160" s="189" t="str">
        <f t="shared" si="16"/>
        <v/>
      </c>
      <c r="Q160" s="197" t="str">
        <f t="shared" si="17"/>
        <v/>
      </c>
      <c r="R160" s="189" t="str">
        <f t="shared" si="18"/>
        <v/>
      </c>
      <c r="S160" s="58" t="str">
        <f>IF(S159="","",IF(S159+1&gt;MONTH(BarselsfondenTilskud!$B$130),"",S159+1))</f>
        <v/>
      </c>
      <c r="T160" s="124" t="str">
        <f t="shared" si="19"/>
        <v/>
      </c>
      <c r="U160" s="125" t="str">
        <f>IF(S160=BarselsfondenTilskud!$B$143,BarselsfondenTilskud!$B$151,
      IF(S160=BarselsfondenTilskud!$C$143,BarselsfondenTilskud!$C$151,
          IF(S160="","",FALSE)))</f>
        <v/>
      </c>
      <c r="V160" s="125" t="str">
        <f>IF(S160="","",
       AND(S160&gt;=BarselsfondenTilskud!$B$143,S160&lt;=BarselsfondenTilskud!$C$143))</f>
        <v/>
      </c>
      <c r="W160" s="126">
        <f>IF(AND(U160,S160=BarselsfondenTilskud!$B$143),BarselsfondenTilskud!$B$152,
IF(AND(U160,S160=BarselsfondenTilskud!$C$143),BarselsfondenTilskud!$C$152,0))</f>
        <v>0</v>
      </c>
      <c r="X160" s="127" t="str">
        <f t="shared" si="8"/>
        <v/>
      </c>
      <c r="Y160" s="128" t="str">
        <f t="shared" ref="Y160:Y169" si="22">IF(S160="","",B159*AF160)</f>
        <v/>
      </c>
      <c r="Z160" s="128" t="str">
        <f t="shared" si="9"/>
        <v/>
      </c>
      <c r="AA160" s="129" t="str">
        <f t="shared" si="10"/>
        <v/>
      </c>
      <c r="AB160" s="127" t="str">
        <f>IF(S160="","",AND(S160&gt;=BarselsfondenTilskud!$B$98,S160&lt;=BarselsfondenTilskud!$D$98))</f>
        <v/>
      </c>
      <c r="AC160" s="127" t="str">
        <f>IF(S160="","",IF(AB160,IF(S160=BarselsfondenTilskud!$B$98,BarselsfondenTilskud!$B$108,IF(S160=BarselsfondenTilskud!$D$98,BarselsfondenTilskud!$D$108,FALSE)),FALSE))</f>
        <v/>
      </c>
      <c r="AD160" s="127" t="str">
        <f>IF(S160="","",
     IF(S160=BarselsfondenTilskud!$B$98,"Start",
           IF(S160&lt;BarselsfondenTilskud!$D$98,"mellemperiode",
                IF(S160=BarselsfondenTilskud!$D$98,"Slut","Noget gik galt")
)))</f>
        <v/>
      </c>
      <c r="AE160" s="183" t="str">
        <f t="shared" si="11"/>
        <v/>
      </c>
      <c r="AF160" s="178" t="str">
        <f t="shared" si="20"/>
        <v/>
      </c>
      <c r="AG160" s="128" t="str">
        <f t="shared" si="12"/>
        <v/>
      </c>
      <c r="AH160" s="130" t="str">
        <f>IF(S160="","",DATE(YEAR(BarselsfondenTilskud!$L$30),S160,1))</f>
        <v/>
      </c>
      <c r="AI160" s="130" t="str">
        <f t="shared" si="13"/>
        <v/>
      </c>
      <c r="AJ160" s="127" t="str">
        <f t="shared" si="14"/>
        <v/>
      </c>
      <c r="AK160" s="127" t="b">
        <f t="shared" si="15"/>
        <v>0</v>
      </c>
      <c r="AL160" s="12"/>
    </row>
    <row r="161" spans="1:38" x14ac:dyDescent="0.25">
      <c r="A161" s="24" t="str">
        <f>IF(S162="","",TEXT(DATE(YEAR(BarselsfondenTilskud!$L$30), S162, 1), "mmmm"))</f>
        <v/>
      </c>
      <c r="B161" s="345"/>
      <c r="C161" s="346"/>
      <c r="D161" s="346"/>
      <c r="E161" s="291" t="str">
        <f>IF(B161="","",BarselsfondenTilskud!$L$2*BarselsfondenTilskud!B161)</f>
        <v/>
      </c>
      <c r="F161" s="291"/>
      <c r="G161" s="25"/>
      <c r="K161" s="121" t="str">
        <f t="shared" si="6"/>
        <v/>
      </c>
      <c r="L161" s="122" t="str">
        <f t="shared" si="21"/>
        <v/>
      </c>
      <c r="M161" s="122" t="str">
        <f t="shared" si="7"/>
        <v/>
      </c>
      <c r="N161" s="123" t="str">
        <f>IF(AC161="","",
      IF(AND(AB161,NOT(AC161)),BarselsfondenTilskud!$L$3*K161,""))</f>
        <v/>
      </c>
      <c r="O161" s="191" t="str">
        <f>IF(S161="","",
       IF(Z161=TRUE,BarselsfondenTilskud!$L$3,
            SUM(L161:N161)))</f>
        <v/>
      </c>
      <c r="P161" s="189" t="str">
        <f t="shared" si="16"/>
        <v/>
      </c>
      <c r="Q161" s="197" t="str">
        <f t="shared" si="17"/>
        <v/>
      </c>
      <c r="R161" s="189" t="str">
        <f t="shared" si="18"/>
        <v/>
      </c>
      <c r="S161" s="58" t="str">
        <f>IF(S160="","",IF(S160+1&gt;MONTH(BarselsfondenTilskud!$B$130),"",S160+1))</f>
        <v/>
      </c>
      <c r="T161" s="124" t="str">
        <f t="shared" si="19"/>
        <v/>
      </c>
      <c r="U161" s="125" t="str">
        <f>IF(S161=BarselsfondenTilskud!$B$143,BarselsfondenTilskud!$B$151,
      IF(S161=BarselsfondenTilskud!$C$143,BarselsfondenTilskud!$C$151,
          IF(S161="","",FALSE)))</f>
        <v/>
      </c>
      <c r="V161" s="125" t="str">
        <f>IF(S161="","",
       AND(S161&gt;=BarselsfondenTilskud!$B$143,S161&lt;=BarselsfondenTilskud!$C$143))</f>
        <v/>
      </c>
      <c r="W161" s="126">
        <f>IF(AND(U161,S161=BarselsfondenTilskud!$B$143),BarselsfondenTilskud!$B$152,
IF(AND(U161,S161=BarselsfondenTilskud!$C$143),BarselsfondenTilskud!$C$152,0))</f>
        <v>0</v>
      </c>
      <c r="X161" s="127" t="str">
        <f t="shared" si="8"/>
        <v/>
      </c>
      <c r="Y161" s="128" t="str">
        <f t="shared" si="22"/>
        <v/>
      </c>
      <c r="Z161" s="128" t="str">
        <f t="shared" si="9"/>
        <v/>
      </c>
      <c r="AA161" s="129" t="str">
        <f t="shared" si="10"/>
        <v/>
      </c>
      <c r="AB161" s="127" t="str">
        <f>IF(S161="","",AND(S161&gt;=BarselsfondenTilskud!$B$98,S161&lt;=BarselsfondenTilskud!$D$98))</f>
        <v/>
      </c>
      <c r="AC161" s="127" t="str">
        <f>IF(S161="","",IF(AB161,IF(S161=BarselsfondenTilskud!$B$98,BarselsfondenTilskud!$B$108,IF(S161=BarselsfondenTilskud!$D$98,BarselsfondenTilskud!$D$108,FALSE)),FALSE))</f>
        <v/>
      </c>
      <c r="AD161" s="127" t="str">
        <f>IF(S161="","",
     IF(S161=BarselsfondenTilskud!$B$98,"Start",
           IF(S161&lt;BarselsfondenTilskud!$D$98,"mellemperiode",
                IF(S161=BarselsfondenTilskud!$D$98,"Slut","Noget gik galt")
)))</f>
        <v/>
      </c>
      <c r="AE161" s="183" t="str">
        <f t="shared" si="11"/>
        <v/>
      </c>
      <c r="AF161" s="178" t="str">
        <f t="shared" si="20"/>
        <v/>
      </c>
      <c r="AG161" s="128" t="str">
        <f t="shared" si="12"/>
        <v/>
      </c>
      <c r="AH161" s="130" t="str">
        <f>IF(S161="","",DATE(YEAR(BarselsfondenTilskud!$L$30),S161,1))</f>
        <v/>
      </c>
      <c r="AI161" s="130" t="str">
        <f t="shared" si="13"/>
        <v/>
      </c>
      <c r="AJ161" s="127" t="str">
        <f t="shared" si="14"/>
        <v/>
      </c>
      <c r="AK161" s="127" t="b">
        <f t="shared" si="15"/>
        <v>0</v>
      </c>
      <c r="AL161" s="12"/>
    </row>
    <row r="162" spans="1:38" x14ac:dyDescent="0.25">
      <c r="A162" s="24" t="str">
        <f>IF(S163="","",TEXT(DATE(YEAR(BarselsfondenTilskud!$L$30), S163, 1), "mmmm"))</f>
        <v/>
      </c>
      <c r="B162" s="292"/>
      <c r="C162" s="293"/>
      <c r="D162" s="293"/>
      <c r="E162" s="291" t="str">
        <f>IF(B162="","",BarselsfondenTilskud!$L$2*BarselsfondenTilskud!B162)</f>
        <v/>
      </c>
      <c r="F162" s="291"/>
      <c r="G162" s="25"/>
      <c r="K162" s="121" t="str">
        <f t="shared" si="6"/>
        <v/>
      </c>
      <c r="L162" s="122" t="str">
        <f t="shared" si="21"/>
        <v/>
      </c>
      <c r="M162" s="122" t="str">
        <f t="shared" si="7"/>
        <v/>
      </c>
      <c r="N162" s="123" t="str">
        <f>IF(AC162="","",
      IF(AND(AB162,NOT(AC162)),BarselsfondenTilskud!$L$3*K162,""))</f>
        <v/>
      </c>
      <c r="O162" s="191" t="str">
        <f>IF(S162="","",
       IF(Z162=TRUE,BarselsfondenTilskud!$L$3,
            SUM(L162:N162)))</f>
        <v/>
      </c>
      <c r="P162" s="189" t="str">
        <f t="shared" si="16"/>
        <v/>
      </c>
      <c r="Q162" s="197" t="str">
        <f t="shared" si="17"/>
        <v/>
      </c>
      <c r="R162" s="189" t="str">
        <f t="shared" si="18"/>
        <v/>
      </c>
      <c r="S162" s="58" t="str">
        <f>IF(S161="","",IF(S161+1&gt;MONTH(BarselsfondenTilskud!$B$130),"",S161+1))</f>
        <v/>
      </c>
      <c r="T162" s="124" t="str">
        <f t="shared" si="19"/>
        <v/>
      </c>
      <c r="U162" s="125" t="str">
        <f>IF(S162=BarselsfondenTilskud!$B$143,BarselsfondenTilskud!$B$151,
      IF(S162=BarselsfondenTilskud!$C$143,BarselsfondenTilskud!$C$151,
          IF(S162="","",FALSE)))</f>
        <v/>
      </c>
      <c r="V162" s="125" t="str">
        <f>IF(S162="","",
       AND(S162&gt;=BarselsfondenTilskud!$B$143,S162&lt;=BarselsfondenTilskud!$C$143))</f>
        <v/>
      </c>
      <c r="W162" s="126">
        <f>IF(AND(U162,S162=BarselsfondenTilskud!$B$143),BarselsfondenTilskud!$B$152,
IF(AND(U162,S162=BarselsfondenTilskud!$C$143),BarselsfondenTilskud!$C$152,0))</f>
        <v>0</v>
      </c>
      <c r="X162" s="127" t="str">
        <f t="shared" si="8"/>
        <v/>
      </c>
      <c r="Y162" s="128" t="str">
        <f t="shared" si="22"/>
        <v/>
      </c>
      <c r="Z162" s="128" t="str">
        <f t="shared" si="9"/>
        <v/>
      </c>
      <c r="AA162" s="129" t="str">
        <f t="shared" si="10"/>
        <v/>
      </c>
      <c r="AB162" s="127" t="str">
        <f>IF(S162="","",AND(S162&gt;=BarselsfondenTilskud!$B$98,S162&lt;=BarselsfondenTilskud!$D$98))</f>
        <v/>
      </c>
      <c r="AC162" s="127" t="str">
        <f>IF(S162="","",IF(AB162,IF(S162=BarselsfondenTilskud!$B$98,BarselsfondenTilskud!$B$108,IF(S162=BarselsfondenTilskud!$D$98,BarselsfondenTilskud!$D$108,FALSE)),FALSE))</f>
        <v/>
      </c>
      <c r="AD162" s="127" t="str">
        <f>IF(S162="","",
     IF(S162=BarselsfondenTilskud!$B$98,"Start",
           IF(S162&lt;BarselsfondenTilskud!$D$98,"mellemperiode",
                IF(S162=BarselsfondenTilskud!$D$98,"Slut","Noget gik galt")
)))</f>
        <v/>
      </c>
      <c r="AE162" s="127" t="str">
        <f t="shared" si="11"/>
        <v/>
      </c>
      <c r="AF162" s="128" t="str">
        <f t="shared" si="20"/>
        <v/>
      </c>
      <c r="AG162" s="128" t="str">
        <f t="shared" si="12"/>
        <v/>
      </c>
      <c r="AH162" s="130" t="str">
        <f>IF(S162="","",DATE(YEAR(BarselsfondenTilskud!$L$30),S162,1))</f>
        <v/>
      </c>
      <c r="AI162" s="130" t="str">
        <f t="shared" si="13"/>
        <v/>
      </c>
      <c r="AJ162" s="127" t="str">
        <f t="shared" si="14"/>
        <v/>
      </c>
      <c r="AK162" s="127" t="b">
        <f t="shared" si="15"/>
        <v>0</v>
      </c>
      <c r="AL162" s="12"/>
    </row>
    <row r="163" spans="1:38" x14ac:dyDescent="0.25">
      <c r="A163" s="24" t="str">
        <f>IF(S164="","",TEXT(DATE(YEAR(BarselsfondenTilskud!$L$30), S164, 1), "mmmm"))</f>
        <v/>
      </c>
      <c r="B163" s="292"/>
      <c r="C163" s="293"/>
      <c r="D163" s="293"/>
      <c r="E163" s="291" t="str">
        <f>IF(B163="","",BarselsfondenTilskud!$L$2*BarselsfondenTilskud!B163)</f>
        <v/>
      </c>
      <c r="F163" s="291"/>
      <c r="G163" s="25"/>
      <c r="K163" s="121" t="str">
        <f t="shared" si="6"/>
        <v/>
      </c>
      <c r="L163" s="122" t="str">
        <f t="shared" si="21"/>
        <v/>
      </c>
      <c r="M163" s="122" t="str">
        <f t="shared" si="7"/>
        <v/>
      </c>
      <c r="N163" s="123" t="str">
        <f>IF(AC163="","",
      IF(AND(AB163,NOT(AC163)),BarselsfondenTilskud!$L$3*K163,""))</f>
        <v/>
      </c>
      <c r="O163" s="191" t="str">
        <f>IF(S163="","",
       IF(Z163=TRUE,BarselsfondenTilskud!$L$3,
            SUM(L163:N163)))</f>
        <v/>
      </c>
      <c r="P163" s="189" t="str">
        <f t="shared" si="16"/>
        <v/>
      </c>
      <c r="Q163" s="197" t="str">
        <f t="shared" si="17"/>
        <v/>
      </c>
      <c r="R163" s="189" t="str">
        <f t="shared" si="18"/>
        <v/>
      </c>
      <c r="S163" s="58" t="str">
        <f>IF(S162="","",IF(S162+1&gt;MONTH(BarselsfondenTilskud!$B$130),"",S162+1))</f>
        <v/>
      </c>
      <c r="T163" s="124" t="str">
        <f t="shared" si="19"/>
        <v/>
      </c>
      <c r="U163" s="125" t="str">
        <f>IF(S163=BarselsfondenTilskud!$B$143,BarselsfondenTilskud!$B$151,
      IF(S163=BarselsfondenTilskud!$C$143,BarselsfondenTilskud!$C$151,
          IF(S163="","",FALSE)))</f>
        <v/>
      </c>
      <c r="V163" s="125" t="str">
        <f>IF(S163="","",
       AND(S163&gt;=BarselsfondenTilskud!$B$143,S163&lt;=BarselsfondenTilskud!$C$143))</f>
        <v/>
      </c>
      <c r="W163" s="126">
        <f>IF(AND(U163,S163=BarselsfondenTilskud!$B$143),BarselsfondenTilskud!$B$152,
IF(AND(U163,S163=BarselsfondenTilskud!$C$143),BarselsfondenTilskud!$C$152,0))</f>
        <v>0</v>
      </c>
      <c r="X163" s="127" t="str">
        <f t="shared" si="8"/>
        <v/>
      </c>
      <c r="Y163" s="128" t="str">
        <f t="shared" si="22"/>
        <v/>
      </c>
      <c r="Z163" s="128" t="str">
        <f t="shared" si="9"/>
        <v/>
      </c>
      <c r="AA163" s="129" t="str">
        <f t="shared" si="10"/>
        <v/>
      </c>
      <c r="AB163" s="127" t="str">
        <f>IF(S163="","",AND(S163&gt;=BarselsfondenTilskud!$B$98,S163&lt;=BarselsfondenTilskud!$D$98))</f>
        <v/>
      </c>
      <c r="AC163" s="127" t="str">
        <f>IF(S163="","",IF(AB163,IF(S163=BarselsfondenTilskud!$B$98,BarselsfondenTilskud!$B$108,IF(S163=BarselsfondenTilskud!$D$98,BarselsfondenTilskud!$D$108,FALSE)),FALSE))</f>
        <v/>
      </c>
      <c r="AD163" s="127" t="str">
        <f>IF(S163="","",
     IF(S163=BarselsfondenTilskud!$B$98,"Start",
           IF(S163&lt;BarselsfondenTilskud!$D$98,"mellemperiode",
                IF(S163=BarselsfondenTilskud!$D$98,"Slut","Noget gik galt")
)))</f>
        <v/>
      </c>
      <c r="AE163" s="127" t="str">
        <f t="shared" si="11"/>
        <v/>
      </c>
      <c r="AF163" s="128" t="str">
        <f t="shared" si="20"/>
        <v/>
      </c>
      <c r="AG163" s="128" t="str">
        <f t="shared" si="12"/>
        <v/>
      </c>
      <c r="AH163" s="130" t="str">
        <f>IF(S163="","",DATE(YEAR(BarselsfondenTilskud!$L$30),S163,1))</f>
        <v/>
      </c>
      <c r="AI163" s="130" t="str">
        <f t="shared" si="13"/>
        <v/>
      </c>
      <c r="AJ163" s="127" t="str">
        <f t="shared" si="14"/>
        <v/>
      </c>
      <c r="AK163" s="127" t="b">
        <f t="shared" si="15"/>
        <v>0</v>
      </c>
      <c r="AL163" s="12"/>
    </row>
    <row r="164" spans="1:38" x14ac:dyDescent="0.25">
      <c r="A164" s="24" t="str">
        <f>IF(S165="","",TEXT(DATE(YEAR(BarselsfondenTilskud!$L$30), S165, 1), "mmmm"))</f>
        <v/>
      </c>
      <c r="B164" s="292"/>
      <c r="C164" s="293"/>
      <c r="D164" s="293"/>
      <c r="E164" s="291" t="str">
        <f>IF(B164="","",BarselsfondenTilskud!$L$2*BarselsfondenTilskud!B164)</f>
        <v/>
      </c>
      <c r="F164" s="291"/>
      <c r="G164" s="25"/>
      <c r="K164" s="121" t="str">
        <f t="shared" si="6"/>
        <v/>
      </c>
      <c r="L164" s="122" t="str">
        <f t="shared" si="21"/>
        <v/>
      </c>
      <c r="M164" s="122" t="str">
        <f t="shared" si="7"/>
        <v/>
      </c>
      <c r="N164" s="123" t="str">
        <f>IF(AC164="","",
      IF(AND(AB164,NOT(AC164)),BarselsfondenTilskud!$L$3*K164,""))</f>
        <v/>
      </c>
      <c r="O164" s="191" t="str">
        <f>IF(S164="","",
       IF(Z164=TRUE,BarselsfondenTilskud!$L$3,
            SUM(L164:N164)))</f>
        <v/>
      </c>
      <c r="P164" s="189" t="str">
        <f t="shared" si="16"/>
        <v/>
      </c>
      <c r="Q164" s="197" t="str">
        <f t="shared" si="17"/>
        <v/>
      </c>
      <c r="R164" s="189" t="str">
        <f t="shared" si="18"/>
        <v/>
      </c>
      <c r="S164" s="58" t="str">
        <f>IF(S163="","",IF(S163+1&gt;MONTH(BarselsfondenTilskud!$B$130),"",S163+1))</f>
        <v/>
      </c>
      <c r="T164" s="124" t="str">
        <f t="shared" si="19"/>
        <v/>
      </c>
      <c r="U164" s="125" t="str">
        <f>IF(S164=BarselsfondenTilskud!$B$143,BarselsfondenTilskud!$B$151,
      IF(S164=BarselsfondenTilskud!$C$143,BarselsfondenTilskud!$C$151,
          IF(S164="","",FALSE)))</f>
        <v/>
      </c>
      <c r="V164" s="125" t="str">
        <f>IF(S164="","",
       AND(S164&gt;=BarselsfondenTilskud!$B$143,S164&lt;=BarselsfondenTilskud!$C$143))</f>
        <v/>
      </c>
      <c r="W164" s="126">
        <f>IF(AND(U164,S164=BarselsfondenTilskud!$B$143),BarselsfondenTilskud!$B$152,
IF(AND(U164,S164=BarselsfondenTilskud!$C$143),BarselsfondenTilskud!$C$152,0))</f>
        <v>0</v>
      </c>
      <c r="X164" s="127" t="str">
        <f t="shared" si="8"/>
        <v/>
      </c>
      <c r="Y164" s="128" t="str">
        <f t="shared" si="22"/>
        <v/>
      </c>
      <c r="Z164" s="128" t="str">
        <f t="shared" si="9"/>
        <v/>
      </c>
      <c r="AA164" s="129" t="str">
        <f t="shared" si="10"/>
        <v/>
      </c>
      <c r="AB164" s="127" t="str">
        <f>IF(S164="","",AND(S164&gt;=BarselsfondenTilskud!$B$98,S164&lt;=BarselsfondenTilskud!$D$98))</f>
        <v/>
      </c>
      <c r="AC164" s="127" t="str">
        <f>IF(S164="","",IF(AB164,IF(S164=BarselsfondenTilskud!$B$98,BarselsfondenTilskud!$B$108,IF(S164=BarselsfondenTilskud!$D$98,BarselsfondenTilskud!$D$108,FALSE)),FALSE))</f>
        <v/>
      </c>
      <c r="AD164" s="127" t="str">
        <f>IF(S164="","",
     IF(S164=BarselsfondenTilskud!$B$98,"Start",
           IF(S164&lt;BarselsfondenTilskud!$D$98,"mellemperiode",
                IF(S164=BarselsfondenTilskud!$D$98,"Slut","Noget gik galt")
)))</f>
        <v/>
      </c>
      <c r="AE164" s="127" t="str">
        <f t="shared" si="11"/>
        <v/>
      </c>
      <c r="AF164" s="128" t="str">
        <f t="shared" si="20"/>
        <v/>
      </c>
      <c r="AG164" s="128" t="str">
        <f t="shared" si="12"/>
        <v/>
      </c>
      <c r="AH164" s="130" t="str">
        <f>IF(S164="","",DATE(YEAR(BarselsfondenTilskud!$L$30),S164,1))</f>
        <v/>
      </c>
      <c r="AI164" s="130" t="str">
        <f t="shared" si="13"/>
        <v/>
      </c>
      <c r="AJ164" s="127" t="str">
        <f t="shared" si="14"/>
        <v/>
      </c>
      <c r="AK164" s="127" t="b">
        <f t="shared" si="15"/>
        <v>0</v>
      </c>
      <c r="AL164" s="12"/>
    </row>
    <row r="165" spans="1:38" x14ac:dyDescent="0.25">
      <c r="A165" s="24" t="str">
        <f>IF(S166="","",TEXT(DATE(YEAR(BarselsfondenTilskud!$L$30), S166, 1), "mmmm"))</f>
        <v/>
      </c>
      <c r="B165" s="292"/>
      <c r="C165" s="293"/>
      <c r="D165" s="293"/>
      <c r="E165" s="291" t="str">
        <f>IF(B165="","",BarselsfondenTilskud!$L$2*BarselsfondenTilskud!B165)</f>
        <v/>
      </c>
      <c r="F165" s="291"/>
      <c r="G165" s="25"/>
      <c r="K165" s="121" t="str">
        <f t="shared" si="6"/>
        <v/>
      </c>
      <c r="L165" s="122" t="str">
        <f t="shared" si="21"/>
        <v/>
      </c>
      <c r="M165" s="122" t="str">
        <f t="shared" si="7"/>
        <v/>
      </c>
      <c r="N165" s="123" t="str">
        <f>IF(AC165="","",
      IF(AND(AB165,NOT(AC165)),BarselsfondenTilskud!$L$3*K165,""))</f>
        <v/>
      </c>
      <c r="O165" s="191" t="str">
        <f>IF(S165="","",
       IF(Z165=TRUE,BarselsfondenTilskud!$L$3,
            SUM(L165:N165)))</f>
        <v/>
      </c>
      <c r="P165" s="189" t="str">
        <f t="shared" si="16"/>
        <v/>
      </c>
      <c r="Q165" s="197" t="str">
        <f t="shared" si="17"/>
        <v/>
      </c>
      <c r="R165" s="189" t="str">
        <f t="shared" si="18"/>
        <v/>
      </c>
      <c r="S165" s="58" t="str">
        <f>IF(S164="","",IF(S164+1&gt;MONTH(BarselsfondenTilskud!$B$130),"",S164+1))</f>
        <v/>
      </c>
      <c r="T165" s="124" t="str">
        <f t="shared" si="19"/>
        <v/>
      </c>
      <c r="U165" s="125" t="str">
        <f>IF(S165=BarselsfondenTilskud!$B$143,BarselsfondenTilskud!$B$151,
      IF(S165=BarselsfondenTilskud!$C$143,BarselsfondenTilskud!$C$151,
          IF(S165="","",FALSE)))</f>
        <v/>
      </c>
      <c r="V165" s="125" t="str">
        <f>IF(S165="","",
       AND(S165&gt;=BarselsfondenTilskud!$B$143,S165&lt;=BarselsfondenTilskud!$C$143))</f>
        <v/>
      </c>
      <c r="W165" s="126">
        <f>IF(AND(U165,S165=BarselsfondenTilskud!$B$143),BarselsfondenTilskud!$B$152,
IF(AND(U165,S165=BarselsfondenTilskud!$C$143),BarselsfondenTilskud!$C$152,0))</f>
        <v>0</v>
      </c>
      <c r="X165" s="127" t="str">
        <f t="shared" si="8"/>
        <v/>
      </c>
      <c r="Y165" s="128" t="str">
        <f t="shared" si="22"/>
        <v/>
      </c>
      <c r="Z165" s="128" t="str">
        <f t="shared" si="9"/>
        <v/>
      </c>
      <c r="AA165" s="129" t="str">
        <f t="shared" si="10"/>
        <v/>
      </c>
      <c r="AB165" s="127" t="str">
        <f>IF(S165="","",AND(S165&gt;=BarselsfondenTilskud!$B$98,S165&lt;=BarselsfondenTilskud!$D$98))</f>
        <v/>
      </c>
      <c r="AC165" s="127" t="str">
        <f>IF(S165="","",IF(AB165,IF(S165=BarselsfondenTilskud!$B$98,BarselsfondenTilskud!$B$108,IF(S165=BarselsfondenTilskud!$D$98,BarselsfondenTilskud!$D$108,FALSE)),FALSE))</f>
        <v/>
      </c>
      <c r="AD165" s="127" t="str">
        <f>IF(S165="","",
     IF(S165=BarselsfondenTilskud!$B$98,"Start",
           IF(S165&lt;BarselsfondenTilskud!$D$98,"mellemperiode",
                IF(S165=BarselsfondenTilskud!$D$98,"Slut","Noget gik galt")
)))</f>
        <v/>
      </c>
      <c r="AE165" s="127" t="str">
        <f t="shared" si="11"/>
        <v/>
      </c>
      <c r="AF165" s="128" t="str">
        <f t="shared" si="20"/>
        <v/>
      </c>
      <c r="AG165" s="128" t="str">
        <f t="shared" si="12"/>
        <v/>
      </c>
      <c r="AH165" s="130" t="str">
        <f>IF(S165="","",DATE(YEAR(BarselsfondenTilskud!$L$30),S165,1))</f>
        <v/>
      </c>
      <c r="AI165" s="130" t="str">
        <f t="shared" si="13"/>
        <v/>
      </c>
      <c r="AJ165" s="127" t="str">
        <f t="shared" si="14"/>
        <v/>
      </c>
      <c r="AK165" s="127" t="b">
        <f t="shared" si="15"/>
        <v>0</v>
      </c>
      <c r="AL165" s="12"/>
    </row>
    <row r="166" spans="1:38" x14ac:dyDescent="0.25">
      <c r="A166" s="24" t="str">
        <f>IF(S167="","",TEXT(DATE(YEAR(BarselsfondenTilskud!$L$30), S167, 1), "mmmm"))</f>
        <v/>
      </c>
      <c r="B166" s="292"/>
      <c r="C166" s="293"/>
      <c r="D166" s="293"/>
      <c r="E166" s="291" t="str">
        <f>IF(B166="","",BarselsfondenTilskud!$L$2*BarselsfondenTilskud!B166)</f>
        <v/>
      </c>
      <c r="F166" s="291"/>
      <c r="G166" s="25"/>
      <c r="K166" s="121" t="str">
        <f t="shared" si="6"/>
        <v/>
      </c>
      <c r="L166" s="122" t="str">
        <f t="shared" si="21"/>
        <v/>
      </c>
      <c r="M166" s="122" t="str">
        <f t="shared" si="7"/>
        <v/>
      </c>
      <c r="N166" s="123" t="str">
        <f>IF(AC166="","",
      IF(AND(AB166,NOT(AC166)),BarselsfondenTilskud!$L$3*K166,""))</f>
        <v/>
      </c>
      <c r="O166" s="191" t="str">
        <f>IF(S166="","",
       IF(Z166=TRUE,BarselsfondenTilskud!$L$3,
            SUM(L166:N166)))</f>
        <v/>
      </c>
      <c r="P166" s="189" t="str">
        <f t="shared" si="16"/>
        <v/>
      </c>
      <c r="Q166" s="197" t="str">
        <f t="shared" si="17"/>
        <v/>
      </c>
      <c r="R166" s="189" t="str">
        <f t="shared" si="18"/>
        <v/>
      </c>
      <c r="S166" s="58" t="str">
        <f>IF(S165="","",IF(S165+1&gt;MONTH(BarselsfondenTilskud!$B$130),"",S165+1))</f>
        <v/>
      </c>
      <c r="T166" s="124" t="str">
        <f t="shared" si="19"/>
        <v/>
      </c>
      <c r="U166" s="125" t="str">
        <f>IF(S166=BarselsfondenTilskud!$B$143,BarselsfondenTilskud!$B$151,
      IF(S166=BarselsfondenTilskud!$C$143,BarselsfondenTilskud!$C$151,
          IF(S166="","",FALSE)))</f>
        <v/>
      </c>
      <c r="V166" s="125" t="str">
        <f>IF(S166="","",
       AND(S166&gt;=BarselsfondenTilskud!$B$143,S166&lt;=BarselsfondenTilskud!$C$143))</f>
        <v/>
      </c>
      <c r="W166" s="126">
        <f>IF(AND(U166,S166=BarselsfondenTilskud!$B$143),BarselsfondenTilskud!$B$152,
IF(AND(U166,S166=BarselsfondenTilskud!$C$143),BarselsfondenTilskud!$C$152,0))</f>
        <v>0</v>
      </c>
      <c r="X166" s="127" t="str">
        <f t="shared" si="8"/>
        <v/>
      </c>
      <c r="Y166" s="128" t="str">
        <f t="shared" si="22"/>
        <v/>
      </c>
      <c r="Z166" s="128" t="str">
        <f t="shared" si="9"/>
        <v/>
      </c>
      <c r="AA166" s="129" t="str">
        <f t="shared" si="10"/>
        <v/>
      </c>
      <c r="AB166" s="127" t="str">
        <f>IF(S166="","",AND(S166&gt;=BarselsfondenTilskud!$B$98,S166&lt;=BarselsfondenTilskud!$D$98))</f>
        <v/>
      </c>
      <c r="AC166" s="127" t="str">
        <f>IF(S166="","",IF(AB166,IF(S166=BarselsfondenTilskud!$B$98,BarselsfondenTilskud!$B$108,IF(S166=BarselsfondenTilskud!$D$98,BarselsfondenTilskud!$D$108,FALSE)),FALSE))</f>
        <v/>
      </c>
      <c r="AD166" s="127" t="str">
        <f>IF(S166="","",
     IF(S166=BarselsfondenTilskud!$B$98,"Start",
           IF(S166&lt;BarselsfondenTilskud!$D$98,"mellemperiode",
                IF(S166=BarselsfondenTilskud!$D$98,"Slut","Noget gik galt")
)))</f>
        <v/>
      </c>
      <c r="AE166" s="127" t="str">
        <f t="shared" si="11"/>
        <v/>
      </c>
      <c r="AF166" s="128" t="str">
        <f t="shared" si="20"/>
        <v/>
      </c>
      <c r="AG166" s="128" t="str">
        <f t="shared" si="12"/>
        <v/>
      </c>
      <c r="AH166" s="130" t="str">
        <f>IF(S166="","",DATE(YEAR(BarselsfondenTilskud!$L$30),S166,1))</f>
        <v/>
      </c>
      <c r="AI166" s="130" t="str">
        <f t="shared" si="13"/>
        <v/>
      </c>
      <c r="AJ166" s="127" t="str">
        <f t="shared" si="14"/>
        <v/>
      </c>
      <c r="AK166" s="127" t="b">
        <f t="shared" si="15"/>
        <v>0</v>
      </c>
      <c r="AL166" s="12"/>
    </row>
    <row r="167" spans="1:38" x14ac:dyDescent="0.25">
      <c r="A167" s="24" t="str">
        <f>IF(S168="","",TEXT(DATE(YEAR(BarselsfondenTilskud!$L$30), S168, 1), "mmmm"))</f>
        <v/>
      </c>
      <c r="B167" s="292"/>
      <c r="C167" s="293"/>
      <c r="D167" s="293"/>
      <c r="E167" s="291" t="str">
        <f>IF(B167="","",BarselsfondenTilskud!$L$2*BarselsfondenTilskud!B167)</f>
        <v/>
      </c>
      <c r="F167" s="291"/>
      <c r="G167" s="25"/>
      <c r="K167" s="121" t="str">
        <f t="shared" si="6"/>
        <v/>
      </c>
      <c r="L167" s="122" t="str">
        <f t="shared" si="21"/>
        <v/>
      </c>
      <c r="M167" s="122" t="str">
        <f t="shared" si="7"/>
        <v/>
      </c>
      <c r="N167" s="123" t="str">
        <f>IF(AC167="","",
      IF(AND(AB167,NOT(AC167)),BarselsfondenTilskud!$L$3*K167,""))</f>
        <v/>
      </c>
      <c r="O167" s="191" t="str">
        <f>IF(S167="","",
       IF(Z167=TRUE,BarselsfondenTilskud!$L$3,
            SUM(L167:N167)))</f>
        <v/>
      </c>
      <c r="P167" s="189" t="str">
        <f t="shared" si="16"/>
        <v/>
      </c>
      <c r="Q167" s="197" t="str">
        <f t="shared" si="17"/>
        <v/>
      </c>
      <c r="R167" s="189" t="str">
        <f t="shared" si="18"/>
        <v/>
      </c>
      <c r="S167" s="58" t="str">
        <f>IF(S166="","",IF(S166+1&gt;MONTH(BarselsfondenTilskud!$B$130),"",S166+1))</f>
        <v/>
      </c>
      <c r="T167" s="124" t="str">
        <f t="shared" si="19"/>
        <v/>
      </c>
      <c r="U167" s="125" t="str">
        <f>IF(S167=BarselsfondenTilskud!$B$143,BarselsfondenTilskud!$B$151,
      IF(S167=BarselsfondenTilskud!$C$143,BarselsfondenTilskud!$C$151,
          IF(S167="","",FALSE)))</f>
        <v/>
      </c>
      <c r="V167" s="125" t="str">
        <f>IF(S167="","",
       AND(S167&gt;=BarselsfondenTilskud!$B$143,S167&lt;=BarselsfondenTilskud!$C$143))</f>
        <v/>
      </c>
      <c r="W167" s="126">
        <f>IF(AND(U167,S167=BarselsfondenTilskud!$B$143),BarselsfondenTilskud!$B$152,
IF(AND(U167,S167=BarselsfondenTilskud!$C$143),BarselsfondenTilskud!$C$152,0))</f>
        <v>0</v>
      </c>
      <c r="X167" s="127" t="str">
        <f t="shared" si="8"/>
        <v/>
      </c>
      <c r="Y167" s="128" t="str">
        <f t="shared" si="22"/>
        <v/>
      </c>
      <c r="Z167" s="128" t="str">
        <f t="shared" si="9"/>
        <v/>
      </c>
      <c r="AA167" s="129" t="str">
        <f t="shared" si="10"/>
        <v/>
      </c>
      <c r="AB167" s="127" t="str">
        <f>IF(S167="","",AND(S167&gt;=BarselsfondenTilskud!$B$98,S167&lt;=BarselsfondenTilskud!$D$98))</f>
        <v/>
      </c>
      <c r="AC167" s="127" t="str">
        <f>IF(S167="","",IF(AB167,IF(S167=BarselsfondenTilskud!$B$98,BarselsfondenTilskud!$B$108,IF(S167=BarselsfondenTilskud!$D$98,BarselsfondenTilskud!$D$108,FALSE)),FALSE))</f>
        <v/>
      </c>
      <c r="AD167" s="127" t="str">
        <f>IF(S167="","",
     IF(S167=BarselsfondenTilskud!$B$98,"Start",
           IF(S167&lt;BarselsfondenTilskud!$D$98,"mellemperiode",
                IF(S167=BarselsfondenTilskud!$D$98,"Slut","Noget gik galt")
)))</f>
        <v/>
      </c>
      <c r="AE167" s="127" t="str">
        <f t="shared" si="11"/>
        <v/>
      </c>
      <c r="AF167" s="128" t="str">
        <f t="shared" si="20"/>
        <v/>
      </c>
      <c r="AG167" s="128" t="str">
        <f t="shared" si="12"/>
        <v/>
      </c>
      <c r="AH167" s="130" t="str">
        <f>IF(S167="","",DATE(YEAR(BarselsfondenTilskud!$L$30),S167,1))</f>
        <v/>
      </c>
      <c r="AI167" s="130" t="str">
        <f t="shared" si="13"/>
        <v/>
      </c>
      <c r="AJ167" s="127" t="str">
        <f t="shared" si="14"/>
        <v/>
      </c>
      <c r="AK167" s="127" t="b">
        <f t="shared" si="15"/>
        <v>0</v>
      </c>
      <c r="AL167" s="12"/>
    </row>
    <row r="168" spans="1:38" x14ac:dyDescent="0.25">
      <c r="A168" s="24" t="str">
        <f>IF(S169="","",TEXT(DATE(YEAR(BarselsfondenTilskud!$L$30), S169, 1), "mmmm"))</f>
        <v/>
      </c>
      <c r="B168" s="292"/>
      <c r="C168" s="293"/>
      <c r="D168" s="293"/>
      <c r="E168" s="291" t="str">
        <f>IF(B168="","",BarselsfondenTilskud!$L$2*BarselsfondenTilskud!B168)</f>
        <v/>
      </c>
      <c r="F168" s="291"/>
      <c r="G168" s="25"/>
      <c r="K168" s="121" t="str">
        <f t="shared" si="6"/>
        <v/>
      </c>
      <c r="L168" s="122" t="str">
        <f t="shared" si="21"/>
        <v/>
      </c>
      <c r="M168" s="122" t="str">
        <f t="shared" si="7"/>
        <v/>
      </c>
      <c r="N168" s="123" t="str">
        <f>IF(AC168="","",
      IF(AND(AB168,NOT(AC168)),BarselsfondenTilskud!$L$3*K168,""))</f>
        <v/>
      </c>
      <c r="O168" s="191" t="str">
        <f>IF(S168="","",
       IF(Z168=TRUE,BarselsfondenTilskud!$L$3,
            SUM(L168:N168)))</f>
        <v/>
      </c>
      <c r="P168" s="189" t="str">
        <f t="shared" si="16"/>
        <v/>
      </c>
      <c r="Q168" s="197" t="str">
        <f t="shared" si="17"/>
        <v/>
      </c>
      <c r="R168" s="189" t="str">
        <f t="shared" si="18"/>
        <v/>
      </c>
      <c r="S168" s="58" t="str">
        <f>IF(S167="","",IF(S167+1&gt;MONTH(BarselsfondenTilskud!$B$130),"",S167+1))</f>
        <v/>
      </c>
      <c r="T168" s="124" t="str">
        <f t="shared" si="19"/>
        <v/>
      </c>
      <c r="U168" s="125" t="str">
        <f>IF(S168=BarselsfondenTilskud!$B$143,BarselsfondenTilskud!$B$151,
      IF(S168=BarselsfondenTilskud!$C$143,BarselsfondenTilskud!$C$151,
          IF(S168="","",FALSE)))</f>
        <v/>
      </c>
      <c r="V168" s="125" t="str">
        <f>IF(S168="","",
       AND(S168&gt;=BarselsfondenTilskud!$B$143,S168&lt;=BarselsfondenTilskud!$C$143))</f>
        <v/>
      </c>
      <c r="W168" s="126">
        <f>IF(AND(U168,S168=BarselsfondenTilskud!$B$143),BarselsfondenTilskud!$B$152,
IF(AND(U168,S168=BarselsfondenTilskud!$C$143),BarselsfondenTilskud!$C$152,0))</f>
        <v>0</v>
      </c>
      <c r="X168" s="127" t="str">
        <f t="shared" si="8"/>
        <v/>
      </c>
      <c r="Y168" s="128" t="str">
        <f t="shared" si="22"/>
        <v/>
      </c>
      <c r="Z168" s="128" t="str">
        <f t="shared" si="9"/>
        <v/>
      </c>
      <c r="AA168" s="129" t="str">
        <f t="shared" si="10"/>
        <v/>
      </c>
      <c r="AB168" s="127" t="str">
        <f>IF(S168="","",AND(S168&gt;=BarselsfondenTilskud!$B$98,S168&lt;=BarselsfondenTilskud!$D$98))</f>
        <v/>
      </c>
      <c r="AC168" s="127" t="str">
        <f>IF(S168="","",IF(AB168,IF(S168=BarselsfondenTilskud!$B$98,BarselsfondenTilskud!$B$108,IF(S168=BarselsfondenTilskud!$D$98,BarselsfondenTilskud!$D$108,FALSE)),FALSE))</f>
        <v/>
      </c>
      <c r="AD168" s="127" t="str">
        <f>IF(S168="","",
     IF(S168=BarselsfondenTilskud!$B$98,"Start",
           IF(S168&lt;BarselsfondenTilskud!$D$98,"mellemperiode",
                IF(S168=BarselsfondenTilskud!$D$98,"Slut","Noget gik galt")
)))</f>
        <v/>
      </c>
      <c r="AE168" s="127" t="str">
        <f t="shared" si="11"/>
        <v/>
      </c>
      <c r="AF168" s="128" t="str">
        <f t="shared" si="20"/>
        <v/>
      </c>
      <c r="AG168" s="128" t="str">
        <f t="shared" si="12"/>
        <v/>
      </c>
      <c r="AH168" s="130" t="str">
        <f>IF(S168="","",DATE(YEAR(BarselsfondenTilskud!$L$30),S168,1))</f>
        <v/>
      </c>
      <c r="AI168" s="130" t="str">
        <f t="shared" si="13"/>
        <v/>
      </c>
      <c r="AJ168" s="127" t="str">
        <f t="shared" si="14"/>
        <v/>
      </c>
      <c r="AK168" s="127" t="b">
        <f t="shared" si="15"/>
        <v>0</v>
      </c>
      <c r="AL168" s="12"/>
    </row>
    <row r="169" spans="1:38" ht="15.75" thickBot="1" x14ac:dyDescent="0.3">
      <c r="A169" s="131"/>
      <c r="B169" s="318">
        <f>SUM(B157:B168)</f>
        <v>0</v>
      </c>
      <c r="C169" s="319"/>
      <c r="D169" s="319"/>
      <c r="E169" s="338">
        <f>SUM(E157:E168)</f>
        <v>0</v>
      </c>
      <c r="F169" s="338"/>
      <c r="G169" s="25"/>
      <c r="K169" s="121" t="str">
        <f t="shared" si="6"/>
        <v/>
      </c>
      <c r="L169" s="122" t="str">
        <f t="shared" si="21"/>
        <v/>
      </c>
      <c r="M169" s="122" t="str">
        <f t="shared" si="7"/>
        <v/>
      </c>
      <c r="N169" s="123" t="str">
        <f>IF(AC169="","",
      IF(AND(AB169,NOT(AC169)),BarselsfondenTilskud!$L$3*K169,""))</f>
        <v/>
      </c>
      <c r="O169" s="191" t="str">
        <f>IF(S169="","",
       IF(Z169=TRUE,BarselsfondenTilskud!$L$3,
            SUM(L169:N169)))</f>
        <v/>
      </c>
      <c r="P169" s="189" t="str">
        <f t="shared" si="16"/>
        <v/>
      </c>
      <c r="Q169" s="197" t="str">
        <f t="shared" si="17"/>
        <v/>
      </c>
      <c r="R169" s="189" t="str">
        <f t="shared" si="18"/>
        <v/>
      </c>
      <c r="S169" s="58" t="str">
        <f>IF(S168="","",IF(S168+1&gt;MONTH(BarselsfondenTilskud!$B$130),"",S168+1))</f>
        <v/>
      </c>
      <c r="T169" s="124" t="str">
        <f t="shared" si="19"/>
        <v/>
      </c>
      <c r="U169" s="125" t="str">
        <f>IF(S169=BarselsfondenTilskud!$B$143,BarselsfondenTilskud!$B$151,
      IF(S169=BarselsfondenTilskud!$C$143,BarselsfondenTilskud!$C$151,
          IF(S169="","",FALSE)))</f>
        <v/>
      </c>
      <c r="V169" s="125" t="str">
        <f>IF(S169="","",
       AND(S169&gt;=BarselsfondenTilskud!$B$143,S169&lt;=BarselsfondenTilskud!$C$143))</f>
        <v/>
      </c>
      <c r="W169" s="126">
        <f>IF(AND(U169,S169=BarselsfondenTilskud!$B$143),BarselsfondenTilskud!$B$152,
IF(AND(U169,S169=BarselsfondenTilskud!$C$143),BarselsfondenTilskud!$C$152,0))</f>
        <v>0</v>
      </c>
      <c r="X169" s="127" t="str">
        <f t="shared" si="8"/>
        <v/>
      </c>
      <c r="Y169" s="128" t="str">
        <f t="shared" si="22"/>
        <v/>
      </c>
      <c r="Z169" s="128" t="str">
        <f t="shared" si="9"/>
        <v/>
      </c>
      <c r="AA169" s="129" t="str">
        <f t="shared" si="10"/>
        <v/>
      </c>
      <c r="AB169" s="127" t="str">
        <f>IF(S169="","",AND(S169&gt;=BarselsfondenTilskud!$B$98,S169&lt;=BarselsfondenTilskud!$D$98))</f>
        <v/>
      </c>
      <c r="AC169" s="127" t="str">
        <f>IF(S169="","",IF(AB169,IF(S169=BarselsfondenTilskud!$B$98,BarselsfondenTilskud!$B$108,IF(S169=BarselsfondenTilskud!$D$98,BarselsfondenTilskud!$D$108,FALSE)),FALSE))</f>
        <v/>
      </c>
      <c r="AD169" s="127" t="str">
        <f>IF(S169="","",
     IF(S169=BarselsfondenTilskud!$B$98,"Start",
           IF(S169&lt;BarselsfondenTilskud!$D$98,"mellemperiode",
                IF(S169=BarselsfondenTilskud!$D$98,"Slut","Noget gik galt")
)))</f>
        <v/>
      </c>
      <c r="AE169" s="127" t="str">
        <f t="shared" si="11"/>
        <v/>
      </c>
      <c r="AF169" s="128" t="str">
        <f t="shared" si="20"/>
        <v/>
      </c>
      <c r="AG169" s="128" t="str">
        <f t="shared" si="12"/>
        <v/>
      </c>
      <c r="AH169" s="130" t="str">
        <f>IF(S169="","",DATE(YEAR(BarselsfondenTilskud!$L$30),S169,1))</f>
        <v/>
      </c>
      <c r="AI169" s="130" t="str">
        <f t="shared" si="13"/>
        <v/>
      </c>
      <c r="AJ169" s="127" t="str">
        <f t="shared" si="14"/>
        <v/>
      </c>
      <c r="AK169" s="127" t="b">
        <f t="shared" si="15"/>
        <v>0</v>
      </c>
      <c r="AL169" s="12"/>
    </row>
    <row r="170" spans="1:38" ht="15.75" thickBot="1" x14ac:dyDescent="0.3">
      <c r="A170" s="24"/>
      <c r="B170" s="13"/>
      <c r="C170" s="13"/>
      <c r="D170" s="13"/>
      <c r="E170" s="13"/>
      <c r="F170" s="13"/>
      <c r="G170" s="75"/>
      <c r="K170" s="132"/>
      <c r="L170" s="133">
        <f>SUM(L158:L169)</f>
        <v>0</v>
      </c>
      <c r="M170" s="133" t="e">
        <f>SUM(M158:M169)</f>
        <v>#VALUE!</v>
      </c>
      <c r="N170" s="133" t="e">
        <f>SUM(N158:N169)</f>
        <v>#VALUE!</v>
      </c>
      <c r="O170" s="192" t="e">
        <f>SUM(O158:O169)</f>
        <v>#VALUE!</v>
      </c>
      <c r="P170" s="190" t="s">
        <v>165</v>
      </c>
      <c r="Q170" s="224" t="e">
        <f>SUM(Q158:Q169)</f>
        <v>#VALUE!</v>
      </c>
      <c r="R170" s="190" t="e">
        <f>SUM(R158:R169)+L170+$E$169</f>
        <v>#VALUE!</v>
      </c>
      <c r="S170" s="134" t="str">
        <f>IF(S169="","",IF(S169+1&gt;MONTH(BarselsfondenTilskud!$B$130),"",S169+1))</f>
        <v/>
      </c>
      <c r="T170" s="135"/>
      <c r="U170" s="135"/>
      <c r="V170" s="135"/>
      <c r="W170" s="136"/>
      <c r="X170" s="137">
        <f>SUM(X158:X169)</f>
        <v>0</v>
      </c>
      <c r="Y170" s="138" t="e">
        <f>SUM(Y158:Y169)</f>
        <v>#VALUE!</v>
      </c>
      <c r="Z170" s="138"/>
      <c r="AA170" s="138" t="e">
        <f>SUM(AA158:AA169)</f>
        <v>#VALUE!</v>
      </c>
      <c r="AB170" s="139"/>
      <c r="AC170" s="139"/>
      <c r="AD170" s="139"/>
      <c r="AE170" s="139"/>
      <c r="AF170" s="139"/>
      <c r="AG170" s="139"/>
      <c r="AH170" s="139"/>
      <c r="AI170" s="139"/>
      <c r="AJ170" s="139"/>
      <c r="AK170" s="140" t="e">
        <f>IF(OR(AK158:AK169),TRUE,FALSE)</f>
        <v>#VALUE!</v>
      </c>
      <c r="AL170" s="12"/>
    </row>
    <row r="171" spans="1:38" x14ac:dyDescent="0.25">
      <c r="A171" s="365" t="s">
        <v>166</v>
      </c>
      <c r="B171" s="366"/>
      <c r="C171" s="366"/>
      <c r="D171" s="366"/>
      <c r="E171" s="366"/>
      <c r="F171" s="366"/>
      <c r="G171" s="367"/>
      <c r="K171" s="11"/>
      <c r="L171" s="141"/>
      <c r="M171" s="141"/>
      <c r="N171" s="142"/>
      <c r="O171" s="140"/>
      <c r="P171" s="225"/>
      <c r="Q171" s="226"/>
      <c r="R171" s="225"/>
      <c r="S171" s="12"/>
      <c r="T171" s="12"/>
      <c r="U171" s="12"/>
      <c r="V171" s="12"/>
      <c r="W171" s="12"/>
      <c r="X171" s="143"/>
      <c r="Y171" s="144"/>
      <c r="Z171" s="144"/>
      <c r="AA171" s="144"/>
      <c r="AB171" s="12"/>
      <c r="AC171" s="12"/>
      <c r="AD171" s="12"/>
      <c r="AE171" s="12"/>
      <c r="AF171" s="12"/>
      <c r="AG171" s="12"/>
      <c r="AH171" s="12"/>
      <c r="AI171" s="12"/>
      <c r="AJ171" s="12"/>
      <c r="AK171" s="140"/>
      <c r="AL171" s="12"/>
    </row>
    <row r="172" spans="1:38" x14ac:dyDescent="0.25">
      <c r="A172" s="368"/>
      <c r="B172" s="369"/>
      <c r="C172" s="369"/>
      <c r="D172" s="369"/>
      <c r="E172" s="369"/>
      <c r="F172" s="369"/>
      <c r="G172" s="370"/>
      <c r="K172" s="11"/>
      <c r="L172" s="141"/>
      <c r="M172" s="141"/>
      <c r="N172" s="142"/>
      <c r="O172" s="140"/>
      <c r="P172" s="225" t="s">
        <v>167</v>
      </c>
      <c r="Q172" s="226"/>
      <c r="R172" s="225"/>
      <c r="S172" s="12"/>
      <c r="T172" s="12"/>
      <c r="U172" s="12"/>
      <c r="V172" s="12"/>
      <c r="W172" s="12"/>
      <c r="X172" s="143"/>
      <c r="Y172" s="144"/>
      <c r="Z172" s="144"/>
      <c r="AA172" s="144"/>
      <c r="AB172" s="12"/>
      <c r="AC172" s="12"/>
      <c r="AD172" s="12"/>
      <c r="AE172" s="12"/>
      <c r="AF172" s="12"/>
      <c r="AG172" s="12"/>
      <c r="AH172" s="12"/>
      <c r="AI172" s="12"/>
      <c r="AJ172" s="12"/>
      <c r="AK172" s="140"/>
      <c r="AL172" s="12"/>
    </row>
    <row r="173" spans="1:38" x14ac:dyDescent="0.25">
      <c r="A173" s="368"/>
      <c r="B173" s="369"/>
      <c r="C173" s="369"/>
      <c r="D173" s="369"/>
      <c r="E173" s="369"/>
      <c r="F173" s="369"/>
      <c r="G173" s="370"/>
      <c r="K173" s="11"/>
      <c r="L173" s="141"/>
      <c r="M173" s="141"/>
      <c r="N173" s="142"/>
      <c r="O173" s="140"/>
      <c r="P173" s="225"/>
      <c r="Q173" s="226"/>
      <c r="R173" s="225" t="str">
        <f>D200</f>
        <v>Fejlindtastning</v>
      </c>
      <c r="S173" s="12"/>
      <c r="T173" s="12"/>
      <c r="U173" s="12"/>
      <c r="V173" s="12"/>
      <c r="W173" s="12"/>
      <c r="X173" s="143"/>
      <c r="Y173" s="144"/>
      <c r="Z173" s="144"/>
      <c r="AA173" s="144"/>
      <c r="AB173" s="12"/>
      <c r="AC173" s="12"/>
      <c r="AD173" s="12"/>
      <c r="AE173" s="12"/>
      <c r="AF173" s="12"/>
      <c r="AG173" s="12"/>
      <c r="AH173" s="12"/>
      <c r="AI173" s="12"/>
      <c r="AJ173" s="12"/>
      <c r="AK173" s="140"/>
      <c r="AL173" s="12"/>
    </row>
    <row r="174" spans="1:38" x14ac:dyDescent="0.25">
      <c r="A174" s="371"/>
      <c r="B174" s="372"/>
      <c r="C174" s="372"/>
      <c r="D174" s="372"/>
      <c r="E174" s="372"/>
      <c r="F174" s="372"/>
      <c r="G174" s="373"/>
      <c r="K174" s="11"/>
      <c r="L174" s="141"/>
      <c r="M174" s="141"/>
      <c r="N174" s="142"/>
      <c r="O174" s="140"/>
      <c r="P174" s="225"/>
      <c r="Q174" s="226"/>
      <c r="R174" s="225"/>
      <c r="S174" s="12"/>
      <c r="T174" s="12"/>
      <c r="U174" s="12"/>
      <c r="V174" s="12"/>
      <c r="W174" s="12"/>
      <c r="X174" s="143"/>
      <c r="Y174" s="144"/>
      <c r="Z174" s="144"/>
      <c r="AA174" s="144"/>
      <c r="AB174" s="12"/>
      <c r="AC174" s="12"/>
      <c r="AD174" s="12"/>
      <c r="AE174" s="12"/>
      <c r="AF174" s="12"/>
      <c r="AG174" s="12"/>
      <c r="AH174" s="12"/>
      <c r="AI174" s="12"/>
      <c r="AJ174" s="12"/>
      <c r="AK174" s="140"/>
      <c r="AL174" s="12"/>
    </row>
    <row r="175" spans="1:38" x14ac:dyDescent="0.25">
      <c r="A175" s="278"/>
      <c r="B175" s="279"/>
      <c r="C175" s="279"/>
      <c r="D175" s="279"/>
      <c r="E175" s="279"/>
      <c r="F175" s="279"/>
      <c r="G175" s="280"/>
      <c r="K175" s="11"/>
      <c r="L175" s="141"/>
      <c r="M175" s="141"/>
      <c r="N175" s="142"/>
      <c r="O175" s="140"/>
      <c r="P175" s="225" t="s">
        <v>168</v>
      </c>
      <c r="Q175" s="226"/>
      <c r="R175" s="228" t="e">
        <f>R170-R173</f>
        <v>#VALUE!</v>
      </c>
      <c r="S175" s="12"/>
      <c r="T175" s="12"/>
      <c r="U175" s="12"/>
      <c r="V175" s="12"/>
      <c r="W175" s="12"/>
      <c r="X175" s="143"/>
      <c r="Y175" s="144"/>
      <c r="Z175" s="144"/>
      <c r="AA175" s="144"/>
      <c r="AB175" s="12"/>
      <c r="AC175" s="12"/>
      <c r="AD175" s="12"/>
      <c r="AE175" s="12"/>
      <c r="AF175" s="12"/>
      <c r="AG175" s="12"/>
      <c r="AH175" s="12"/>
      <c r="AI175" s="12"/>
      <c r="AJ175" s="12"/>
      <c r="AK175" s="140"/>
      <c r="AL175" s="12"/>
    </row>
    <row r="176" spans="1:38" ht="19.5" thickBot="1" x14ac:dyDescent="0.35">
      <c r="A176" s="295" t="s">
        <v>169</v>
      </c>
      <c r="B176" s="296"/>
      <c r="C176" s="296"/>
      <c r="D176" s="296"/>
      <c r="E176" s="145"/>
      <c r="F176" s="145"/>
      <c r="G176" s="146"/>
      <c r="H176" s="11"/>
      <c r="K176" s="12"/>
      <c r="L176" s="12"/>
      <c r="M176" s="12"/>
      <c r="N176" s="12"/>
      <c r="O176" s="12"/>
      <c r="P176" s="227"/>
      <c r="Q176" s="227"/>
      <c r="R176" s="197"/>
      <c r="S176" s="12"/>
      <c r="T176" s="12"/>
      <c r="U176" s="12"/>
      <c r="V176" s="12"/>
      <c r="W176" s="12"/>
      <c r="X176" s="12"/>
      <c r="Y176" s="12"/>
      <c r="Z176" s="12"/>
      <c r="AA176" s="12"/>
      <c r="AB176" s="12"/>
      <c r="AC176" s="12"/>
      <c r="AD176" s="12"/>
      <c r="AE176" s="12"/>
      <c r="AF176" s="12"/>
      <c r="AG176" s="12"/>
      <c r="AH176" s="12"/>
      <c r="AI176" s="12"/>
      <c r="AJ176" s="12"/>
      <c r="AK176" s="12"/>
      <c r="AL176" s="12"/>
    </row>
    <row r="177" spans="1:38" x14ac:dyDescent="0.25">
      <c r="A177" s="415" t="s">
        <v>170</v>
      </c>
      <c r="B177" s="416"/>
      <c r="C177" s="416"/>
      <c r="D177" s="416"/>
      <c r="E177" s="147"/>
      <c r="F177" s="147"/>
      <c r="G177" s="148"/>
      <c r="H177" s="11"/>
      <c r="I177" s="12"/>
      <c r="J177" s="12"/>
      <c r="K177" s="12"/>
      <c r="L177" s="12"/>
      <c r="M177" s="12"/>
      <c r="N177" s="12"/>
      <c r="O177" s="12"/>
      <c r="P177" s="227"/>
      <c r="Q177" s="227"/>
      <c r="R177" s="227"/>
      <c r="S177" s="12"/>
      <c r="T177" s="12"/>
      <c r="U177" s="12"/>
      <c r="V177" s="12"/>
      <c r="W177" s="12"/>
      <c r="X177" s="12"/>
      <c r="Y177" s="12"/>
      <c r="Z177" s="12"/>
      <c r="AA177" s="12"/>
      <c r="AB177" s="12"/>
      <c r="AC177" s="12"/>
      <c r="AD177" s="12"/>
      <c r="AE177" s="12"/>
      <c r="AF177" s="12"/>
      <c r="AG177" s="12"/>
      <c r="AH177" s="12"/>
      <c r="AI177" s="12"/>
      <c r="AJ177" s="12"/>
      <c r="AK177" s="12"/>
      <c r="AL177" s="12"/>
    </row>
    <row r="178" spans="1:38" ht="16.5" thickBot="1" x14ac:dyDescent="0.3">
      <c r="A178" s="149" t="s">
        <v>171</v>
      </c>
      <c r="B178" s="150" t="s">
        <v>133</v>
      </c>
      <c r="C178" s="404" t="s">
        <v>172</v>
      </c>
      <c r="D178" s="405"/>
      <c r="E178" s="297" t="s">
        <v>173</v>
      </c>
      <c r="F178" s="297"/>
      <c r="G178" s="151" t="s">
        <v>174</v>
      </c>
      <c r="H178" s="11"/>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row>
    <row r="179" spans="1:38" x14ac:dyDescent="0.25">
      <c r="A179" s="80" t="str">
        <f>IF(S158="","",TEXT(DATE(YEAR(BarselsfondenTilskud!$L$30), S158, 1), "mmmm"))</f>
        <v>januar</v>
      </c>
      <c r="B179" s="222"/>
      <c r="C179" s="336"/>
      <c r="D179" s="337"/>
      <c r="E179" s="294" t="e">
        <f>IF(S158="",0,
          IF(Z158,G179,
               IF(AND(V158,NOT(U158)),G179,
                    IF(AND(V158,U158),T158,0))))+IF(S158="",0,IF(NOT(Z158),Y158,0))+IF(S158="",0,IF(NOT(Z158),AA158,0))</f>
        <v>#VALUE!</v>
      </c>
      <c r="F179" s="294"/>
      <c r="G179" s="152">
        <f>IF(S158="","",IF(ISNUMBER(B179),B179,BarselsfondenTilskud!$K$45))</f>
        <v>0</v>
      </c>
      <c r="H179" s="11"/>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row>
    <row r="180" spans="1:38" x14ac:dyDescent="0.25">
      <c r="A180" s="80" t="str">
        <f>IF(S159="","",TEXT(DATE(YEAR(BarselsfondenTilskud!$L$30), S159, 1), "mmmm"))</f>
        <v/>
      </c>
      <c r="B180" s="222"/>
      <c r="C180" s="336"/>
      <c r="D180" s="337"/>
      <c r="E180" s="294">
        <f t="shared" ref="E180:E190" si="23">IF(S159="",0,
          IF(Z159,G180,
               IF(AND(V159,NOT(U159)),G180,
                    IF(AND(V159,U159),T159,0))))+IF(S159="",0,IF(NOT(Z159),Y159,0))+IF(S159="",0,IF(NOT(Z159),AA159,0))</f>
        <v>0</v>
      </c>
      <c r="F180" s="294"/>
      <c r="G180" s="152" t="str">
        <f>IF(S159="","",IF(ISNUMBER(B180),B180,BarselsfondenTilskud!$K$45))</f>
        <v/>
      </c>
      <c r="H180" s="11"/>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row>
    <row r="181" spans="1:38" x14ac:dyDescent="0.25">
      <c r="A181" s="80" t="str">
        <f>IF(S160="","",TEXT(DATE(YEAR(BarselsfondenTilskud!$L$30), S160, 1), "mmmm"))</f>
        <v/>
      </c>
      <c r="B181" s="222"/>
      <c r="C181" s="336"/>
      <c r="D181" s="337"/>
      <c r="E181" s="294">
        <f t="shared" si="23"/>
        <v>0</v>
      </c>
      <c r="F181" s="294"/>
      <c r="G181" s="152" t="str">
        <f>IF(S160="","",IF(ISNUMBER(B181),B181,BarselsfondenTilskud!$K$45))</f>
        <v/>
      </c>
      <c r="H181" s="11"/>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row>
    <row r="182" spans="1:38" x14ac:dyDescent="0.25">
      <c r="A182" s="80" t="str">
        <f>IF(S161="","",TEXT(DATE(YEAR(BarselsfondenTilskud!$L$30), S161, 1), "mmmm"))</f>
        <v/>
      </c>
      <c r="B182" s="223"/>
      <c r="C182" s="336"/>
      <c r="D182" s="337"/>
      <c r="E182" s="294">
        <f t="shared" si="23"/>
        <v>0</v>
      </c>
      <c r="F182" s="294"/>
      <c r="G182" s="152" t="str">
        <f>IF(S161="","",IF(ISNUMBER(B182),B182,BarselsfondenTilskud!$K$45))</f>
        <v/>
      </c>
      <c r="H182" s="11"/>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row>
    <row r="183" spans="1:38" x14ac:dyDescent="0.25">
      <c r="A183" s="80" t="str">
        <f>IF(S162="","",TEXT(DATE(YEAR(BarselsfondenTilskud!$L$30), S162, 1), "mmmm"))</f>
        <v/>
      </c>
      <c r="B183" s="218"/>
      <c r="C183" s="336"/>
      <c r="D183" s="337"/>
      <c r="E183" s="294">
        <f t="shared" si="23"/>
        <v>0</v>
      </c>
      <c r="F183" s="294"/>
      <c r="G183" s="152" t="str">
        <f>IF(S162="","",IF(ISNUMBER(B183),B183,BarselsfondenTilskud!$K$45))</f>
        <v/>
      </c>
      <c r="H183" s="11"/>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row>
    <row r="184" spans="1:38" x14ac:dyDescent="0.25">
      <c r="A184" s="80" t="str">
        <f>IF(S163="","",TEXT(DATE(YEAR(BarselsfondenTilskud!$L$30), S163, 1), "mmmm"))</f>
        <v/>
      </c>
      <c r="B184" s="218"/>
      <c r="C184" s="336"/>
      <c r="D184" s="337"/>
      <c r="E184" s="294">
        <f t="shared" si="23"/>
        <v>0</v>
      </c>
      <c r="F184" s="294"/>
      <c r="G184" s="152" t="str">
        <f>IF(S163="","",IF(ISNUMBER(B184),B184,BarselsfondenTilskud!$K$45))</f>
        <v/>
      </c>
      <c r="H184" s="11"/>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row>
    <row r="185" spans="1:38" x14ac:dyDescent="0.25">
      <c r="A185" s="80" t="str">
        <f>IF(S164="","",TEXT(DATE(YEAR(BarselsfondenTilskud!$L$30), S164, 1), "mmmm"))</f>
        <v/>
      </c>
      <c r="B185" s="218"/>
      <c r="C185" s="336"/>
      <c r="D185" s="337"/>
      <c r="E185" s="294">
        <f t="shared" si="23"/>
        <v>0</v>
      </c>
      <c r="F185" s="294"/>
      <c r="G185" s="152" t="str">
        <f>IF(S164="","",IF(ISNUMBER(B185),B185,BarselsfondenTilskud!$K$45))</f>
        <v/>
      </c>
      <c r="H185" s="11"/>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row>
    <row r="186" spans="1:38" x14ac:dyDescent="0.25">
      <c r="A186" s="80" t="str">
        <f>IF(S165="","",TEXT(DATE(YEAR(BarselsfondenTilskud!$L$30), S165, 1), "mmmm"))</f>
        <v/>
      </c>
      <c r="B186" s="218"/>
      <c r="C186" s="336"/>
      <c r="D186" s="337"/>
      <c r="E186" s="294">
        <f t="shared" si="23"/>
        <v>0</v>
      </c>
      <c r="F186" s="294"/>
      <c r="G186" s="152" t="str">
        <f>IF(S165="","",IF(ISNUMBER(B186),B186,BarselsfondenTilskud!$K$45))</f>
        <v/>
      </c>
      <c r="H186" s="11"/>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row>
    <row r="187" spans="1:38" x14ac:dyDescent="0.25">
      <c r="A187" s="80" t="str">
        <f>IF(S166="","",TEXT(DATE(YEAR(BarselsfondenTilskud!$L$30), S166, 1), "mmmm"))</f>
        <v/>
      </c>
      <c r="B187" s="218"/>
      <c r="C187" s="336"/>
      <c r="D187" s="337"/>
      <c r="E187" s="294">
        <f t="shared" si="23"/>
        <v>0</v>
      </c>
      <c r="F187" s="294"/>
      <c r="G187" s="152" t="str">
        <f>IF(S166="","",IF(ISNUMBER(B187),B187,BarselsfondenTilskud!$K$45))</f>
        <v/>
      </c>
      <c r="H187" s="11"/>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row>
    <row r="188" spans="1:38" x14ac:dyDescent="0.25">
      <c r="A188" s="80" t="str">
        <f>IF(S167="","",TEXT(DATE(YEAR(BarselsfondenTilskud!$L$30), S167, 1), "mmmm"))</f>
        <v/>
      </c>
      <c r="B188" s="218"/>
      <c r="C188" s="336"/>
      <c r="D188" s="337"/>
      <c r="E188" s="294">
        <f t="shared" si="23"/>
        <v>0</v>
      </c>
      <c r="F188" s="294"/>
      <c r="G188" s="152" t="str">
        <f>IF(S167="","",IF(ISNUMBER(B188),B188,BarselsfondenTilskud!$K$45))</f>
        <v/>
      </c>
      <c r="H188" s="11"/>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row>
    <row r="189" spans="1:38" x14ac:dyDescent="0.25">
      <c r="A189" s="80" t="str">
        <f>IF(S168="","",TEXT(DATE(YEAR(BarselsfondenTilskud!$L$30), S168, 1), "mmmm"))</f>
        <v/>
      </c>
      <c r="B189" s="218"/>
      <c r="C189" s="336"/>
      <c r="D189" s="337"/>
      <c r="E189" s="294">
        <f t="shared" si="23"/>
        <v>0</v>
      </c>
      <c r="F189" s="294"/>
      <c r="G189" s="152" t="str">
        <f>IF(S168="","",IF(ISNUMBER(B189),B189,BarselsfondenTilskud!$K$45))</f>
        <v/>
      </c>
      <c r="H189" s="11"/>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row>
    <row r="190" spans="1:38" x14ac:dyDescent="0.25">
      <c r="A190" s="80" t="str">
        <f>IF(S169="","",TEXT(DATE(YEAR(BarselsfondenTilskud!$L$30), S169, 1), "mmmm"))</f>
        <v/>
      </c>
      <c r="B190" s="218"/>
      <c r="C190" s="293"/>
      <c r="D190" s="337"/>
      <c r="E190" s="294">
        <f t="shared" si="23"/>
        <v>0</v>
      </c>
      <c r="F190" s="294"/>
      <c r="G190" s="152" t="str">
        <f>IF(S169="","",IF(ISNUMBER(B190),B190,BarselsfondenTilskud!$K$45))</f>
        <v/>
      </c>
      <c r="H190" s="11"/>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row>
    <row r="191" spans="1:38" ht="15.75" thickBot="1" x14ac:dyDescent="0.3">
      <c r="A191" s="153" t="s">
        <v>175</v>
      </c>
      <c r="B191" s="154"/>
      <c r="C191" s="154"/>
      <c r="D191" s="155"/>
      <c r="E191" s="311" t="e">
        <f>SUM(E179:E190)</f>
        <v>#VALUE!</v>
      </c>
      <c r="F191" s="311"/>
      <c r="G191" s="156"/>
      <c r="H191" s="11"/>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row>
    <row r="192" spans="1:38" ht="15.75" thickTop="1" x14ac:dyDescent="0.25">
      <c r="A192" s="24"/>
      <c r="B192" s="13"/>
      <c r="C192" s="13"/>
      <c r="D192" s="13"/>
      <c r="E192" s="13"/>
      <c r="F192" s="13"/>
      <c r="G192" s="75"/>
      <c r="H192" s="11"/>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row>
    <row r="193" spans="1:38" ht="15.75" thickBot="1" x14ac:dyDescent="0.3">
      <c r="A193" s="34"/>
      <c r="B193" s="11"/>
      <c r="C193" s="11"/>
      <c r="D193" s="11"/>
      <c r="E193" s="11"/>
      <c r="F193" s="11"/>
      <c r="G193" s="25"/>
      <c r="H193" s="11"/>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row>
    <row r="194" spans="1:38" ht="30.75" customHeight="1" x14ac:dyDescent="0.25">
      <c r="A194" s="315" t="str" cm="1">
        <f t="array" ref="A194">IF(G77&lt;&gt;E30,"Obs: Barselsperioden starter ikke 8 uger før forventet fødsel.",
      IF(OR(BarselsfondenTilskud!D39&gt;37,BarselsfondenTilskud!C179:C190&gt;37),"Bemærk at du kun  kan får kompensation for de første 37t",
           IF(G30&gt;D33,"Tjek om barselsperioden er korrekt og om du har valgt det rigtige køn","")))</f>
        <v>Obs: Barselsperioden starter ikke 8 uger før forventet fødsel.</v>
      </c>
      <c r="B194" s="316"/>
      <c r="C194" s="316"/>
      <c r="D194" s="316"/>
      <c r="E194" s="316"/>
      <c r="F194" s="316"/>
      <c r="G194" s="317"/>
      <c r="H194" s="11"/>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row>
    <row r="195" spans="1:38" x14ac:dyDescent="0.25">
      <c r="A195" s="417" t="str">
        <f>IF(AND(D23="Far / Medmor",(E169+L170)&gt;1),"Far / Medmor kan ikke have graviditetsgener","")</f>
        <v/>
      </c>
      <c r="B195" s="418"/>
      <c r="C195" s="418"/>
      <c r="D195" s="418"/>
      <c r="E195" s="418"/>
      <c r="F195" s="418"/>
      <c r="G195" s="419"/>
      <c r="H195" s="11"/>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row>
    <row r="196" spans="1:38" ht="15.75" thickBot="1" x14ac:dyDescent="0.3">
      <c r="A196" s="312" t="s">
        <v>176</v>
      </c>
      <c r="B196" s="313"/>
      <c r="C196" s="313"/>
      <c r="D196" s="313"/>
      <c r="E196" s="313"/>
      <c r="F196" s="313"/>
      <c r="G196" s="314"/>
      <c r="H196" s="11"/>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row>
    <row r="197" spans="1:38" x14ac:dyDescent="0.25">
      <c r="A197" s="24"/>
      <c r="B197" s="13"/>
      <c r="C197" s="13"/>
      <c r="D197" s="13"/>
      <c r="E197" s="13"/>
      <c r="F197" s="13"/>
      <c r="G197" s="75"/>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row>
    <row r="198" spans="1:38" ht="21" thickBot="1" x14ac:dyDescent="0.35">
      <c r="A198" s="339" t="s">
        <v>177</v>
      </c>
      <c r="B198" s="340"/>
      <c r="C198" s="340"/>
      <c r="D198" s="340"/>
      <c r="E198" s="340"/>
      <c r="F198" s="340"/>
      <c r="G198" s="341"/>
      <c r="H198" s="157"/>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row>
    <row r="199" spans="1:38" ht="14.45" customHeight="1" x14ac:dyDescent="0.25">
      <c r="A199" s="320" t="s">
        <v>178</v>
      </c>
      <c r="B199" s="321"/>
      <c r="C199" s="321"/>
      <c r="D199" s="321" t="s">
        <v>179</v>
      </c>
      <c r="E199" s="321"/>
      <c r="F199" s="321" t="s">
        <v>180</v>
      </c>
      <c r="G199" s="324"/>
      <c r="H199" s="158"/>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row>
    <row r="200" spans="1:38" ht="21" thickBot="1" x14ac:dyDescent="0.35">
      <c r="A200" s="322" t="str">
        <f>IF(A201&lt;&gt;"","Fejlindtastning",E191)</f>
        <v>Fejlindtastning</v>
      </c>
      <c r="B200" s="323"/>
      <c r="C200" s="323"/>
      <c r="D200" s="323" t="str">
        <f>IF(A201&lt;&gt;"","Fejlindtastning",O170+E169)</f>
        <v>Fejlindtastning</v>
      </c>
      <c r="E200" s="323"/>
      <c r="F200" s="325" t="e">
        <f>IF(A200="","",ROUND(A200-D200,0))</f>
        <v>#VALUE!</v>
      </c>
      <c r="G200" s="326"/>
      <c r="H200" s="141"/>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row>
    <row r="201" spans="1:38" ht="15.75" thickTop="1" x14ac:dyDescent="0.25">
      <c r="A201" s="327" t="str">
        <f>IF($N$61,"Der er overlap i perioderne",
IF(OR(ISBLANK(E30),ISBLANK(G30)),"Barselsperiode er ikke udfyldt korrekt",
IF(AND(D23="Far / Medmor",E169+L170&lt;&gt;0),"Far eller medmor kan ikke have graviditetsgenere, brug altid et nulstillet ark",
IF(AND(G30&lt;E30,NOT(ISBLANK(G30))),"sluttidspunktet er før starttidspunktet",
IF(AK170=TRUE,"Der er ansøgt om refusion for flere timer, end den pågældende MA arbejder","")))))</f>
        <v>Barselsperiode er ikke udfyldt korrekt</v>
      </c>
      <c r="B201" s="328"/>
      <c r="C201" s="328"/>
      <c r="D201" s="328"/>
      <c r="E201" s="328"/>
      <c r="F201" s="328"/>
      <c r="G201" s="329"/>
      <c r="H201" s="1"/>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row>
    <row r="202" spans="1:38" x14ac:dyDescent="0.25">
      <c r="A202" s="330"/>
      <c r="B202" s="331"/>
      <c r="C202" s="331"/>
      <c r="D202" s="331"/>
      <c r="E202" s="331"/>
      <c r="F202" s="331"/>
      <c r="G202" s="332"/>
      <c r="H202" s="31"/>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row>
    <row r="203" spans="1:38" x14ac:dyDescent="0.25">
      <c r="A203" s="333"/>
      <c r="B203" s="334"/>
      <c r="C203" s="334"/>
      <c r="D203" s="334"/>
      <c r="E203" s="334"/>
      <c r="F203" s="334"/>
      <c r="G203" s="335"/>
      <c r="H203" s="31"/>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row>
    <row r="204" spans="1:38" x14ac:dyDescent="0.25">
      <c r="A204" s="54" t="s">
        <v>181</v>
      </c>
      <c r="B204" s="59"/>
      <c r="C204" s="59"/>
      <c r="D204" s="59"/>
      <c r="E204" s="59"/>
      <c r="F204" s="59"/>
      <c r="G204" s="60"/>
      <c r="H204" s="31"/>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row>
    <row r="205" spans="1:38" x14ac:dyDescent="0.25">
      <c r="A205" s="386" t="s">
        <v>182</v>
      </c>
      <c r="B205" s="387"/>
      <c r="C205" s="387"/>
      <c r="D205" s="387"/>
      <c r="E205" s="387"/>
      <c r="F205" s="387"/>
      <c r="G205" s="388"/>
      <c r="H205" s="31"/>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row>
    <row r="206" spans="1:38" x14ac:dyDescent="0.25">
      <c r="A206" s="389"/>
      <c r="B206" s="390"/>
      <c r="C206" s="390"/>
      <c r="D206" s="390"/>
      <c r="E206" s="390"/>
      <c r="F206" s="390"/>
      <c r="G206" s="391"/>
      <c r="H206" s="31"/>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row>
    <row r="207" spans="1:38" x14ac:dyDescent="0.25">
      <c r="A207" s="389"/>
      <c r="B207" s="390"/>
      <c r="C207" s="390"/>
      <c r="D207" s="390"/>
      <c r="E207" s="390"/>
      <c r="F207" s="390"/>
      <c r="G207" s="391"/>
      <c r="H207" s="31"/>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row>
    <row r="208" spans="1:38" x14ac:dyDescent="0.25">
      <c r="A208" s="389"/>
      <c r="B208" s="390"/>
      <c r="C208" s="390"/>
      <c r="D208" s="390"/>
      <c r="E208" s="390"/>
      <c r="F208" s="390"/>
      <c r="G208" s="391"/>
      <c r="H208" s="159"/>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row>
    <row r="209" spans="1:38" x14ac:dyDescent="0.25">
      <c r="A209" s="389"/>
      <c r="B209" s="390"/>
      <c r="C209" s="390"/>
      <c r="D209" s="390"/>
      <c r="E209" s="390"/>
      <c r="F209" s="390"/>
      <c r="G209" s="391"/>
      <c r="H209" s="159"/>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row>
    <row r="210" spans="1:38" x14ac:dyDescent="0.25">
      <c r="A210" s="389"/>
      <c r="B210" s="390"/>
      <c r="C210" s="390"/>
      <c r="D210" s="390"/>
      <c r="E210" s="390"/>
      <c r="F210" s="390"/>
      <c r="G210" s="391"/>
      <c r="H210" s="159"/>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row>
    <row r="211" spans="1:38" x14ac:dyDescent="0.25">
      <c r="A211" s="392"/>
      <c r="B211" s="393"/>
      <c r="C211" s="393"/>
      <c r="D211" s="393"/>
      <c r="E211" s="393"/>
      <c r="F211" s="393"/>
      <c r="G211" s="394"/>
      <c r="H211" s="159"/>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row>
    <row r="212" spans="1:38" x14ac:dyDescent="0.25">
      <c r="A212" s="395" t="s">
        <v>183</v>
      </c>
      <c r="B212" s="396"/>
      <c r="C212" s="396"/>
      <c r="D212" s="396"/>
      <c r="E212" s="396"/>
      <c r="F212" s="396"/>
      <c r="G212" s="397"/>
      <c r="H212" s="159"/>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row>
    <row r="213" spans="1:38" ht="15.75" x14ac:dyDescent="0.25">
      <c r="A213" s="308" t="s">
        <v>184</v>
      </c>
      <c r="B213" s="309"/>
      <c r="C213" s="309"/>
      <c r="D213" s="309"/>
      <c r="E213" s="309"/>
      <c r="F213" s="309"/>
      <c r="G213" s="310"/>
      <c r="H213" s="159"/>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row>
    <row r="214" spans="1:38" x14ac:dyDescent="0.25">
      <c r="A214" s="24"/>
      <c r="B214" s="13"/>
      <c r="C214" s="13"/>
      <c r="D214" s="13"/>
      <c r="E214" s="13"/>
      <c r="F214" s="13"/>
      <c r="G214" s="75"/>
      <c r="H214" s="159"/>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row>
    <row r="215" spans="1:38" x14ac:dyDescent="0.25">
      <c r="A215" s="24"/>
      <c r="B215" s="13"/>
      <c r="C215" s="13"/>
      <c r="D215" s="13"/>
      <c r="E215" s="13"/>
      <c r="F215" s="13"/>
      <c r="G215" s="75"/>
      <c r="H215" s="159"/>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row>
    <row r="216" spans="1:38" ht="15.75" x14ac:dyDescent="0.25">
      <c r="A216" s="24"/>
      <c r="B216" s="13"/>
      <c r="C216" s="13"/>
      <c r="D216" s="13"/>
      <c r="E216" s="13"/>
      <c r="F216" s="13"/>
      <c r="G216" s="75"/>
      <c r="H216" s="64"/>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row>
    <row r="217" spans="1:38" x14ac:dyDescent="0.25">
      <c r="A217" s="24"/>
      <c r="B217" s="13"/>
      <c r="C217" s="13"/>
      <c r="D217" s="13"/>
      <c r="E217" s="13"/>
      <c r="F217" s="13"/>
      <c r="G217" s="75"/>
      <c r="H217" s="11"/>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row>
    <row r="218" spans="1:38" x14ac:dyDescent="0.25">
      <c r="A218" s="34"/>
      <c r="B218" s="11"/>
      <c r="C218" s="11"/>
      <c r="D218" s="11"/>
      <c r="E218" s="11"/>
      <c r="F218" s="11"/>
      <c r="G218" s="25"/>
      <c r="H218" s="11"/>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row>
    <row r="219" spans="1:38" x14ac:dyDescent="0.25">
      <c r="A219" s="34"/>
      <c r="B219" s="11"/>
      <c r="C219" s="11"/>
      <c r="D219" s="11"/>
      <c r="E219" s="11"/>
      <c r="F219" s="11"/>
      <c r="G219" s="25"/>
      <c r="H219" s="11"/>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row>
    <row r="220" spans="1:38" x14ac:dyDescent="0.25">
      <c r="A220" s="34"/>
      <c r="B220" s="11"/>
      <c r="C220" s="11"/>
      <c r="D220" s="11"/>
      <c r="E220" s="11"/>
      <c r="F220" s="11"/>
      <c r="G220" s="25"/>
      <c r="H220" s="11"/>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row>
    <row r="221" spans="1:38" x14ac:dyDescent="0.25">
      <c r="A221" s="34"/>
      <c r="B221" s="11"/>
      <c r="C221" s="11"/>
      <c r="D221" s="11"/>
      <c r="E221" s="11"/>
      <c r="F221" s="11"/>
      <c r="G221" s="25"/>
      <c r="H221" s="11"/>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row>
    <row r="222" spans="1:38" x14ac:dyDescent="0.25">
      <c r="A222" s="34"/>
      <c r="B222" s="11"/>
      <c r="C222" s="11"/>
      <c r="D222" s="11"/>
      <c r="E222" s="11"/>
      <c r="F222" s="11"/>
      <c r="G222" s="25"/>
      <c r="H222" s="11"/>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row>
    <row r="223" spans="1:38" x14ac:dyDescent="0.25">
      <c r="A223" s="34"/>
      <c r="B223" s="11"/>
      <c r="C223" s="11"/>
      <c r="D223" s="11"/>
      <c r="E223" s="11"/>
      <c r="F223" s="11"/>
      <c r="G223" s="25"/>
      <c r="H223" s="11"/>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row>
    <row r="224" spans="1:38" x14ac:dyDescent="0.25">
      <c r="A224" s="34"/>
      <c r="B224" s="11"/>
      <c r="C224" s="11"/>
      <c r="D224" s="11"/>
      <c r="E224" s="11"/>
      <c r="F224" s="11"/>
      <c r="G224" s="25"/>
      <c r="H224" s="11"/>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row>
    <row r="225" spans="1:63" x14ac:dyDescent="0.25">
      <c r="A225" s="34"/>
      <c r="B225" s="11"/>
      <c r="C225" s="11"/>
      <c r="D225" s="11"/>
      <c r="E225" s="11"/>
      <c r="F225" s="11"/>
      <c r="G225" s="25"/>
      <c r="H225" s="11"/>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row>
    <row r="226" spans="1:63" x14ac:dyDescent="0.25">
      <c r="A226" s="34"/>
      <c r="B226" s="11"/>
      <c r="C226" s="11"/>
      <c r="D226" s="11"/>
      <c r="E226" s="11"/>
      <c r="F226" s="11"/>
      <c r="G226" s="25"/>
      <c r="H226" s="11"/>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row>
    <row r="227" spans="1:63" x14ac:dyDescent="0.25">
      <c r="A227" s="34"/>
      <c r="B227" s="11"/>
      <c r="C227" s="11"/>
      <c r="D227" s="11"/>
      <c r="E227" s="11"/>
      <c r="F227" s="11"/>
      <c r="G227" s="25"/>
      <c r="H227" s="11"/>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row>
    <row r="228" spans="1:63" x14ac:dyDescent="0.25">
      <c r="A228" s="34"/>
      <c r="B228" s="11"/>
      <c r="C228" s="11"/>
      <c r="D228" s="11"/>
      <c r="E228" s="11"/>
      <c r="F228" s="11"/>
      <c r="G228" s="25"/>
      <c r="H228" s="11"/>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row>
    <row r="229" spans="1:63" x14ac:dyDescent="0.25">
      <c r="A229" s="34"/>
      <c r="B229" s="11"/>
      <c r="C229" s="11"/>
      <c r="D229" s="11"/>
      <c r="E229" s="11"/>
      <c r="F229" s="11"/>
      <c r="G229" s="25"/>
      <c r="H229" s="11"/>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row>
    <row r="230" spans="1:63" x14ac:dyDescent="0.25">
      <c r="A230" s="34"/>
      <c r="B230" s="11"/>
      <c r="C230" s="11"/>
      <c r="D230" s="11"/>
      <c r="E230" s="11"/>
      <c r="F230" s="11"/>
      <c r="G230" s="25"/>
      <c r="H230" s="11"/>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row>
    <row r="231" spans="1:63" x14ac:dyDescent="0.25">
      <c r="A231" s="34"/>
      <c r="B231" s="11"/>
      <c r="C231" s="11"/>
      <c r="D231" s="11"/>
      <c r="E231" s="11"/>
      <c r="F231" s="11"/>
      <c r="G231" s="25"/>
      <c r="H231" s="11"/>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row>
    <row r="232" spans="1:63" x14ac:dyDescent="0.25">
      <c r="A232" s="34"/>
      <c r="B232" s="11"/>
      <c r="C232" s="11"/>
      <c r="D232" s="11"/>
      <c r="E232" s="11"/>
      <c r="F232" s="11"/>
      <c r="G232" s="25"/>
      <c r="H232" s="11"/>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row>
    <row r="233" spans="1:63" x14ac:dyDescent="0.25">
      <c r="A233" s="34"/>
      <c r="B233" s="11"/>
      <c r="C233" s="11"/>
      <c r="D233" s="11"/>
      <c r="E233" s="11"/>
      <c r="F233" s="11"/>
      <c r="G233" s="25"/>
      <c r="H233" s="11"/>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row>
    <row r="234" spans="1:63" x14ac:dyDescent="0.25">
      <c r="A234" s="34"/>
      <c r="B234" s="11"/>
      <c r="C234" s="11"/>
      <c r="D234" s="11"/>
      <c r="E234" s="11"/>
      <c r="F234" s="11"/>
      <c r="G234" s="25"/>
      <c r="H234" s="11"/>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row>
    <row r="235" spans="1:63" x14ac:dyDescent="0.25">
      <c r="A235" s="34"/>
      <c r="B235" s="11"/>
      <c r="C235" s="11"/>
      <c r="D235" s="11"/>
      <c r="E235" s="11"/>
      <c r="F235" s="11"/>
      <c r="G235" s="25"/>
      <c r="H235" s="11"/>
      <c r="I235" s="12"/>
      <c r="J235" s="12"/>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row>
    <row r="236" spans="1:63" x14ac:dyDescent="0.25">
      <c r="A236" s="34"/>
      <c r="B236" s="11"/>
      <c r="C236" s="11"/>
      <c r="D236" s="11"/>
      <c r="E236" s="11"/>
      <c r="F236" s="11"/>
      <c r="G236" s="25"/>
      <c r="H236" s="11"/>
      <c r="I236" s="12"/>
      <c r="J236" s="12"/>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row>
    <row r="237" spans="1:63" x14ac:dyDescent="0.25">
      <c r="A237" s="34"/>
      <c r="B237" s="11"/>
      <c r="C237" s="11"/>
      <c r="D237" s="11"/>
      <c r="E237" s="11"/>
      <c r="F237" s="11"/>
      <c r="G237" s="25"/>
      <c r="H237" s="11"/>
      <c r="I237" s="12"/>
      <c r="J237" s="12"/>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row>
    <row r="238" spans="1:63" x14ac:dyDescent="0.25">
      <c r="A238" s="34"/>
      <c r="B238" s="11"/>
      <c r="C238" s="11"/>
      <c r="D238" s="11"/>
      <c r="E238" s="11"/>
      <c r="F238" s="11"/>
      <c r="G238" s="25"/>
      <c r="H238" s="11"/>
      <c r="I238" s="12"/>
      <c r="J238" s="12"/>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row>
    <row r="239" spans="1:63" x14ac:dyDescent="0.25">
      <c r="A239" s="34"/>
      <c r="B239" s="11"/>
      <c r="C239" s="11"/>
      <c r="D239" s="11"/>
      <c r="E239" s="11"/>
      <c r="F239" s="11"/>
      <c r="G239" s="25"/>
      <c r="H239" s="11"/>
      <c r="I239" s="12"/>
      <c r="J239" s="12"/>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row>
    <row r="240" spans="1:63" x14ac:dyDescent="0.25">
      <c r="A240" s="34"/>
      <c r="B240" s="11"/>
      <c r="C240" s="11"/>
      <c r="D240" s="11"/>
      <c r="E240" s="11"/>
      <c r="F240" s="11"/>
      <c r="G240" s="25"/>
      <c r="H240" s="11"/>
      <c r="I240" s="12"/>
      <c r="J240" s="12"/>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row>
    <row r="241" spans="1:63" x14ac:dyDescent="0.25">
      <c r="A241" s="34"/>
      <c r="B241" s="11"/>
      <c r="C241" s="11"/>
      <c r="D241" s="11"/>
      <c r="E241" s="11"/>
      <c r="F241" s="11"/>
      <c r="G241" s="25"/>
      <c r="H241" s="11"/>
      <c r="I241" s="12"/>
      <c r="J241" s="12"/>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row>
    <row r="242" spans="1:63" x14ac:dyDescent="0.25">
      <c r="A242" s="34"/>
      <c r="B242" s="11"/>
      <c r="C242" s="11"/>
      <c r="D242" s="11"/>
      <c r="E242" s="11"/>
      <c r="F242" s="11"/>
      <c r="G242" s="25"/>
      <c r="H242" s="11"/>
      <c r="I242" s="12"/>
      <c r="J242" s="12"/>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row>
    <row r="243" spans="1:63" x14ac:dyDescent="0.25">
      <c r="A243" s="34"/>
      <c r="B243" s="11"/>
      <c r="C243" s="11"/>
      <c r="D243" s="11"/>
      <c r="E243" s="11"/>
      <c r="F243" s="11"/>
      <c r="G243" s="25"/>
      <c r="H243" s="11"/>
      <c r="I243" s="12"/>
      <c r="J243" s="12"/>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row>
    <row r="244" spans="1:63" x14ac:dyDescent="0.25">
      <c r="A244" s="34"/>
      <c r="B244" s="11"/>
      <c r="C244" s="11"/>
      <c r="D244" s="11"/>
      <c r="E244" s="11"/>
      <c r="F244" s="11"/>
      <c r="G244" s="25"/>
      <c r="H244" s="11"/>
      <c r="I244" s="12"/>
      <c r="J244" s="12"/>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row>
    <row r="245" spans="1:63" x14ac:dyDescent="0.25">
      <c r="A245" s="34"/>
      <c r="B245" s="11"/>
      <c r="C245" s="11"/>
      <c r="D245" s="11"/>
      <c r="E245" s="11"/>
      <c r="F245" s="11"/>
      <c r="G245" s="25"/>
      <c r="H245" s="11"/>
      <c r="I245" s="12"/>
      <c r="J245" s="12"/>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row>
    <row r="246" spans="1:63" x14ac:dyDescent="0.25">
      <c r="A246" s="34"/>
      <c r="B246" s="11"/>
      <c r="C246" s="11"/>
      <c r="D246" s="11"/>
      <c r="E246" s="11"/>
      <c r="F246" s="11"/>
      <c r="G246" s="25"/>
      <c r="H246" s="11"/>
      <c r="I246" s="12"/>
      <c r="J246" s="12"/>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row>
    <row r="247" spans="1:63" x14ac:dyDescent="0.25">
      <c r="A247" s="34"/>
      <c r="B247" s="11"/>
      <c r="C247" s="11"/>
      <c r="D247" s="11"/>
      <c r="E247" s="11"/>
      <c r="F247" s="11"/>
      <c r="G247" s="25"/>
      <c r="H247" s="11"/>
      <c r="I247" s="12"/>
      <c r="J247" s="12"/>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row>
    <row r="248" spans="1:63" x14ac:dyDescent="0.25">
      <c r="A248" s="34"/>
      <c r="B248" s="11"/>
      <c r="C248" s="11"/>
      <c r="D248" s="11"/>
      <c r="E248" s="11"/>
      <c r="F248" s="11"/>
      <c r="G248" s="25"/>
      <c r="H248" s="11"/>
      <c r="I248" s="12"/>
      <c r="J248" s="12"/>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row>
    <row r="249" spans="1:63" x14ac:dyDescent="0.25">
      <c r="A249" s="34"/>
      <c r="B249" s="11"/>
      <c r="C249" s="11"/>
      <c r="D249" s="11"/>
      <c r="E249" s="11"/>
      <c r="F249" s="11"/>
      <c r="G249" s="25"/>
      <c r="H249" s="11"/>
      <c r="I249" s="12"/>
      <c r="J249" s="12"/>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row>
    <row r="250" spans="1:63" x14ac:dyDescent="0.25">
      <c r="A250" s="34"/>
      <c r="B250" s="11"/>
      <c r="C250" s="11"/>
      <c r="D250" s="11"/>
      <c r="E250" s="11"/>
      <c r="F250" s="11"/>
      <c r="G250" s="25"/>
      <c r="H250" s="11"/>
      <c r="I250" s="12"/>
      <c r="J250" s="12"/>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row>
    <row r="251" spans="1:63" x14ac:dyDescent="0.25">
      <c r="A251" s="34"/>
      <c r="B251" s="11"/>
      <c r="C251" s="11"/>
      <c r="D251" s="11"/>
      <c r="E251" s="11"/>
      <c r="F251" s="11"/>
      <c r="G251" s="25"/>
      <c r="H251" s="11"/>
      <c r="I251" s="12"/>
      <c r="J251" s="12"/>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row>
    <row r="252" spans="1:63" x14ac:dyDescent="0.25">
      <c r="A252" s="34"/>
      <c r="B252" s="11"/>
      <c r="C252" s="11"/>
      <c r="D252" s="11"/>
      <c r="E252" s="11"/>
      <c r="F252" s="11"/>
      <c r="G252" s="25"/>
      <c r="H252" s="11"/>
      <c r="I252" s="12"/>
      <c r="J252" s="12"/>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row>
    <row r="253" spans="1:63" x14ac:dyDescent="0.25">
      <c r="A253" s="34"/>
      <c r="B253" s="11"/>
      <c r="C253" s="11"/>
      <c r="D253" s="11"/>
      <c r="E253" s="11"/>
      <c r="F253" s="11"/>
      <c r="G253" s="25"/>
      <c r="H253" s="11"/>
      <c r="I253" s="12"/>
      <c r="J253" s="12"/>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row>
    <row r="254" spans="1:63" x14ac:dyDescent="0.25">
      <c r="A254" s="34"/>
      <c r="B254" s="11"/>
      <c r="C254" s="11"/>
      <c r="D254" s="11"/>
      <c r="E254" s="11"/>
      <c r="F254" s="11"/>
      <c r="G254" s="25"/>
      <c r="H254" s="11"/>
      <c r="I254" s="12"/>
      <c r="J254" s="12"/>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row>
    <row r="255" spans="1:63" x14ac:dyDescent="0.25">
      <c r="A255" s="255" t="s">
        <v>185</v>
      </c>
      <c r="B255" s="256"/>
      <c r="C255" s="256"/>
      <c r="D255" s="256"/>
      <c r="E255" s="256"/>
      <c r="F255" s="256"/>
      <c r="G255" s="257"/>
    </row>
    <row r="256" spans="1:63" x14ac:dyDescent="0.25">
      <c r="A256" s="258"/>
      <c r="B256" s="256"/>
      <c r="C256" s="256"/>
      <c r="D256" s="256"/>
      <c r="E256" s="259" t="str">
        <f>$D$23</f>
        <v>Mor</v>
      </c>
      <c r="F256" s="256"/>
      <c r="G256" s="257"/>
    </row>
    <row r="257" spans="1:25" x14ac:dyDescent="0.25">
      <c r="A257" s="258" t="s">
        <v>186</v>
      </c>
      <c r="B257" s="256"/>
      <c r="C257" s="256"/>
      <c r="D257" s="256"/>
      <c r="E257" s="260">
        <f>$E$29</f>
        <v>0</v>
      </c>
      <c r="F257" s="260">
        <f>$G$29</f>
        <v>0</v>
      </c>
      <c r="G257" s="257"/>
    </row>
    <row r="258" spans="1:25" x14ac:dyDescent="0.25">
      <c r="A258" s="258" t="s">
        <v>187</v>
      </c>
      <c r="B258" s="256"/>
      <c r="C258" s="256"/>
      <c r="D258" s="256"/>
      <c r="E258" s="260" t="e">
        <f>$B$101</f>
        <v>#VALUE!</v>
      </c>
      <c r="F258" s="260">
        <f>$D$100</f>
        <v>0</v>
      </c>
      <c r="G258" s="257"/>
    </row>
    <row r="259" spans="1:25" x14ac:dyDescent="0.25">
      <c r="A259" s="258" t="s">
        <v>188</v>
      </c>
      <c r="B259" s="256"/>
      <c r="C259" s="256"/>
      <c r="D259" s="256"/>
      <c r="E259" s="261"/>
      <c r="F259" s="262" t="e">
        <f>DATEDIF(E258,F258,"d")/7</f>
        <v>#VALUE!</v>
      </c>
      <c r="G259" s="257"/>
    </row>
    <row r="260" spans="1:25" x14ac:dyDescent="0.25">
      <c r="A260" s="258" t="s">
        <v>189</v>
      </c>
      <c r="B260" s="256"/>
      <c r="C260" s="256"/>
      <c r="D260" s="256"/>
      <c r="E260" s="261"/>
      <c r="F260" s="259" t="str">
        <f>IF($E$31="Ja","Ja","Nej")</f>
        <v>Nej</v>
      </c>
      <c r="G260" s="257"/>
    </row>
    <row r="261" spans="1:25" x14ac:dyDescent="0.25">
      <c r="A261" s="258" t="s">
        <v>190</v>
      </c>
      <c r="B261" s="256"/>
      <c r="C261" s="256"/>
      <c r="D261" s="256"/>
      <c r="E261" s="261"/>
      <c r="F261" s="259" t="e">
        <f>#REF!</f>
        <v>#REF!</v>
      </c>
      <c r="G261" s="257"/>
    </row>
    <row r="262" spans="1:25" x14ac:dyDescent="0.25">
      <c r="A262" s="258" t="s">
        <v>191</v>
      </c>
      <c r="B262" s="256"/>
      <c r="C262" s="263">
        <v>45383</v>
      </c>
      <c r="D262" s="256"/>
      <c r="E262" s="261"/>
      <c r="F262" s="259" t="str">
        <f>IF(ISBLANK($E$29),"Faktisk Fødsels er ikke udfyldt",IF(E29&gt;=C262,"Efter","Før"))</f>
        <v>Faktisk Fødsels er ikke udfyldt</v>
      </c>
      <c r="G262" s="257"/>
    </row>
    <row r="263" spans="1:25" x14ac:dyDescent="0.25">
      <c r="A263" s="258"/>
      <c r="B263" s="256"/>
      <c r="C263" s="256"/>
      <c r="D263" s="256"/>
      <c r="E263" s="256"/>
      <c r="F263" s="256"/>
      <c r="G263" s="257"/>
    </row>
    <row r="264" spans="1:25" x14ac:dyDescent="0.25">
      <c r="A264" s="258"/>
      <c r="B264" s="256"/>
      <c r="C264" s="256"/>
      <c r="D264" s="256"/>
      <c r="E264" s="256"/>
      <c r="F264" s="256"/>
      <c r="G264" s="257"/>
    </row>
    <row r="265" spans="1:25" x14ac:dyDescent="0.25">
      <c r="A265" s="264" t="s">
        <v>192</v>
      </c>
      <c r="B265" s="265"/>
      <c r="C265" s="266"/>
      <c r="D265" s="266"/>
      <c r="E265" s="266"/>
      <c r="F265" s="266"/>
      <c r="G265" s="267"/>
      <c r="H265" s="242"/>
      <c r="I265" s="233"/>
      <c r="J265" s="233"/>
      <c r="K265" s="243"/>
      <c r="L265" s="13"/>
      <c r="M265" s="13"/>
      <c r="N265" s="13"/>
      <c r="O265" s="13"/>
      <c r="P265" s="13"/>
      <c r="Q265" s="13"/>
      <c r="R265" s="13"/>
      <c r="S265" s="13"/>
      <c r="T265" s="13"/>
      <c r="U265" s="13"/>
      <c r="V265" s="13"/>
      <c r="W265" s="13"/>
      <c r="X265" s="13"/>
      <c r="Y265" s="13"/>
    </row>
    <row r="266" spans="1:25" x14ac:dyDescent="0.25">
      <c r="A266" s="268" t="s">
        <v>193</v>
      </c>
      <c r="B266" s="283">
        <f>B269-(13*7)+1</f>
        <v>-90</v>
      </c>
      <c r="C266" s="266"/>
      <c r="D266" s="266"/>
      <c r="E266" s="266"/>
      <c r="F266" s="266"/>
      <c r="G266" s="267"/>
      <c r="H266" s="242"/>
      <c r="I266" s="233"/>
      <c r="J266" s="233"/>
      <c r="K266" s="243"/>
      <c r="L266" s="13"/>
      <c r="M266" s="13"/>
      <c r="N266" s="13"/>
      <c r="O266" s="13"/>
      <c r="P266" s="13"/>
      <c r="Q266" s="13"/>
      <c r="R266" s="13"/>
      <c r="S266" s="13"/>
      <c r="T266" s="13"/>
      <c r="U266" s="13"/>
      <c r="V266" s="13"/>
      <c r="W266" s="13"/>
      <c r="X266" s="13"/>
      <c r="Y266" s="13"/>
    </row>
    <row r="267" spans="1:25" x14ac:dyDescent="0.25">
      <c r="A267" s="270" t="s">
        <v>194</v>
      </c>
      <c r="B267" s="283">
        <f>B269-(8*7)+1</f>
        <v>-55</v>
      </c>
      <c r="C267" s="266"/>
      <c r="D267" s="266"/>
      <c r="E267" s="266"/>
      <c r="F267" s="266"/>
      <c r="G267" s="267"/>
      <c r="H267" s="242"/>
      <c r="I267" s="233"/>
      <c r="J267" s="233"/>
      <c r="K267" s="243"/>
      <c r="L267" s="13"/>
      <c r="M267" s="13"/>
      <c r="N267" s="13"/>
      <c r="O267" s="13"/>
      <c r="P267" s="13"/>
      <c r="Q267" s="13"/>
      <c r="R267" s="13"/>
      <c r="S267" s="13"/>
      <c r="T267" s="13"/>
      <c r="U267" s="13"/>
      <c r="V267" s="13"/>
      <c r="W267" s="13"/>
      <c r="X267" s="13"/>
      <c r="Y267" s="13"/>
    </row>
    <row r="268" spans="1:25" x14ac:dyDescent="0.25">
      <c r="A268" s="270" t="s">
        <v>195</v>
      </c>
      <c r="B268" s="283">
        <f>B269+1-(4*7)</f>
        <v>-27</v>
      </c>
      <c r="C268" s="271"/>
      <c r="D268" s="233"/>
      <c r="E268" s="266"/>
      <c r="F268" s="266"/>
      <c r="G268" s="238"/>
      <c r="H268" s="243"/>
      <c r="I268" s="271"/>
      <c r="J268" s="233"/>
      <c r="K268" s="244"/>
      <c r="L268" s="13"/>
      <c r="M268" s="13"/>
      <c r="N268" s="13"/>
      <c r="O268" s="13"/>
      <c r="P268" s="13"/>
      <c r="Q268" s="13"/>
      <c r="R268" s="13"/>
      <c r="S268" s="13"/>
      <c r="T268" s="13"/>
      <c r="U268" s="13"/>
      <c r="V268" s="13"/>
      <c r="W268" s="13"/>
      <c r="X268" s="13"/>
      <c r="Y268" s="13"/>
    </row>
    <row r="269" spans="1:25" x14ac:dyDescent="0.25">
      <c r="A269" s="270" t="s">
        <v>196</v>
      </c>
      <c r="B269" s="272">
        <f>G29</f>
        <v>0</v>
      </c>
      <c r="K269" s="13"/>
      <c r="L269" s="13"/>
      <c r="M269" s="13"/>
      <c r="N269" s="13"/>
      <c r="O269" s="13"/>
      <c r="P269" s="13"/>
      <c r="Q269" s="13"/>
      <c r="R269" s="13"/>
      <c r="S269" s="13"/>
      <c r="T269" s="13"/>
      <c r="U269" s="13"/>
      <c r="V269" s="13"/>
      <c r="W269" s="13"/>
      <c r="X269" s="13"/>
      <c r="Y269" s="13"/>
    </row>
    <row r="270" spans="1:25" x14ac:dyDescent="0.25">
      <c r="A270" s="273" t="s">
        <v>197</v>
      </c>
      <c r="B270" s="274"/>
      <c r="K270" s="13"/>
      <c r="L270" s="13"/>
      <c r="M270" s="13"/>
      <c r="N270" s="13"/>
      <c r="O270" s="13"/>
      <c r="P270" s="13"/>
      <c r="Q270" s="13"/>
      <c r="R270" s="13"/>
      <c r="S270" s="13"/>
      <c r="T270" s="13"/>
      <c r="U270" s="13"/>
      <c r="V270" s="13"/>
      <c r="W270" s="13"/>
      <c r="X270" s="13"/>
      <c r="Y270" s="13"/>
    </row>
    <row r="271" spans="1:25" x14ac:dyDescent="0.25">
      <c r="A271" s="270" t="s">
        <v>198</v>
      </c>
      <c r="B271" s="269">
        <f>B269+(14*7)</f>
        <v>98</v>
      </c>
      <c r="C271" s="275"/>
      <c r="D271" s="233"/>
      <c r="E271" s="233"/>
      <c r="F271" s="233"/>
      <c r="G271" s="238"/>
      <c r="H271" s="243"/>
      <c r="I271" s="233"/>
      <c r="J271" s="233"/>
      <c r="K271" s="243"/>
      <c r="L271" s="13"/>
      <c r="M271" s="13"/>
      <c r="N271" s="13"/>
      <c r="O271" s="13"/>
      <c r="P271" s="13"/>
      <c r="Q271" s="13"/>
      <c r="R271" s="13"/>
      <c r="S271" s="13"/>
      <c r="T271" s="13"/>
      <c r="U271" s="13"/>
      <c r="V271" s="13"/>
      <c r="W271" s="13"/>
      <c r="X271" s="13"/>
      <c r="Y271" s="13"/>
    </row>
    <row r="272" spans="1:25" x14ac:dyDescent="0.25">
      <c r="A272" s="270" t="s">
        <v>199</v>
      </c>
      <c r="B272" s="269">
        <f>B269+(20*7)</f>
        <v>140</v>
      </c>
      <c r="C272" s="233"/>
      <c r="D272" s="233"/>
      <c r="E272" s="234"/>
      <c r="F272" s="234"/>
      <c r="G272" s="239"/>
      <c r="H272" s="245"/>
      <c r="I272" s="234"/>
      <c r="J272" s="234"/>
      <c r="K272" s="245"/>
      <c r="L272" s="13"/>
      <c r="M272" s="13"/>
      <c r="N272" s="13"/>
      <c r="O272" s="13"/>
      <c r="P272" s="13"/>
      <c r="Q272" s="13"/>
      <c r="R272" s="13"/>
      <c r="S272" s="13"/>
      <c r="T272" s="13"/>
      <c r="U272" s="13"/>
      <c r="V272" s="13"/>
      <c r="W272" s="13"/>
      <c r="X272" s="13"/>
      <c r="Y272" s="13"/>
    </row>
    <row r="273" spans="1:25" x14ac:dyDescent="0.25">
      <c r="A273" s="270" t="s">
        <v>200</v>
      </c>
      <c r="B273" s="269">
        <f>B269+(26*7)</f>
        <v>182</v>
      </c>
      <c r="C273" s="233"/>
      <c r="D273" s="233"/>
      <c r="E273" s="234"/>
      <c r="F273" s="234"/>
      <c r="G273" s="239"/>
      <c r="H273" s="245"/>
      <c r="I273" s="234"/>
      <c r="J273" s="234"/>
      <c r="K273" s="245"/>
      <c r="L273" s="13"/>
      <c r="M273" s="13"/>
      <c r="N273" s="13"/>
      <c r="O273" s="13"/>
      <c r="P273" s="13"/>
      <c r="Q273" s="13"/>
      <c r="R273" s="13"/>
      <c r="S273" s="13"/>
      <c r="T273" s="13"/>
      <c r="U273" s="13"/>
      <c r="V273" s="13"/>
      <c r="W273" s="13"/>
      <c r="X273" s="13"/>
      <c r="Y273" s="13"/>
    </row>
    <row r="274" spans="1:25" x14ac:dyDescent="0.25">
      <c r="A274" s="276" t="s">
        <v>201</v>
      </c>
      <c r="B274" s="269">
        <f>B269+(40*7)</f>
        <v>280</v>
      </c>
      <c r="C274" s="233"/>
      <c r="D274" s="233"/>
      <c r="E274" s="233"/>
      <c r="F274" s="233"/>
      <c r="G274" s="238"/>
      <c r="H274" s="243"/>
      <c r="I274" s="233"/>
      <c r="J274" s="233"/>
      <c r="K274" s="243"/>
      <c r="L274" s="13"/>
      <c r="M274" s="13"/>
      <c r="N274" s="13"/>
      <c r="O274" s="13"/>
      <c r="P274" s="13"/>
      <c r="Q274" s="13"/>
      <c r="R274" s="13"/>
      <c r="S274" s="13"/>
      <c r="T274" s="13"/>
      <c r="U274" s="13"/>
      <c r="V274" s="13"/>
      <c r="W274" s="13"/>
      <c r="X274" s="13"/>
      <c r="Y274" s="13"/>
    </row>
    <row r="275" spans="1:25" x14ac:dyDescent="0.25">
      <c r="A275" s="276" t="s">
        <v>202</v>
      </c>
      <c r="B275" s="269">
        <f>B269+(46*7)</f>
        <v>322</v>
      </c>
      <c r="C275" s="233"/>
      <c r="D275" s="233"/>
      <c r="E275" s="233"/>
      <c r="F275" s="233"/>
      <c r="G275" s="238"/>
      <c r="H275" s="243"/>
      <c r="I275" s="233"/>
      <c r="J275" s="233"/>
      <c r="K275" s="243"/>
      <c r="L275" s="13"/>
      <c r="M275" s="13"/>
      <c r="N275" s="13"/>
      <c r="O275" s="13"/>
      <c r="P275" s="13"/>
      <c r="Q275" s="13"/>
      <c r="R275" s="13"/>
      <c r="S275" s="13"/>
      <c r="T275" s="13"/>
      <c r="U275" s="13"/>
      <c r="V275" s="13"/>
      <c r="W275" s="13"/>
      <c r="X275" s="13"/>
      <c r="Y275" s="13"/>
    </row>
    <row r="276" spans="1:25" x14ac:dyDescent="0.25">
      <c r="A276" s="270" t="s">
        <v>203</v>
      </c>
      <c r="B276" s="269">
        <f>B269+(54*7)</f>
        <v>378</v>
      </c>
      <c r="C276" s="233"/>
      <c r="D276" s="233"/>
      <c r="E276" s="233"/>
      <c r="F276" s="233"/>
      <c r="G276" s="238"/>
      <c r="H276" s="243"/>
      <c r="I276" s="233"/>
      <c r="J276" s="233"/>
      <c r="K276" s="243"/>
      <c r="L276" s="13"/>
      <c r="M276" s="13"/>
      <c r="N276" s="13"/>
      <c r="O276" s="13"/>
      <c r="P276" s="13"/>
      <c r="Q276" s="13"/>
      <c r="R276" s="13"/>
      <c r="S276" s="13"/>
      <c r="T276" s="13"/>
      <c r="U276" s="13"/>
      <c r="V276" s="13"/>
      <c r="W276" s="13"/>
      <c r="X276" s="13"/>
      <c r="Y276" s="13"/>
    </row>
    <row r="277" spans="1:25" x14ac:dyDescent="0.25">
      <c r="A277" s="270" t="s">
        <v>204</v>
      </c>
      <c r="B277" s="269">
        <f>B269+(60*7)</f>
        <v>420</v>
      </c>
      <c r="C277" s="233"/>
      <c r="D277" s="233"/>
      <c r="E277" s="233"/>
      <c r="F277" s="233"/>
      <c r="G277" s="238"/>
      <c r="H277" s="243"/>
      <c r="I277" s="233"/>
      <c r="J277" s="233"/>
      <c r="K277" s="243"/>
      <c r="L277" s="13"/>
      <c r="M277" s="13"/>
      <c r="N277" s="13"/>
      <c r="O277" s="13"/>
      <c r="P277" s="13"/>
      <c r="Q277" s="13"/>
      <c r="R277" s="13"/>
      <c r="S277" s="13"/>
      <c r="T277" s="13"/>
      <c r="U277" s="13"/>
      <c r="V277" s="13"/>
      <c r="W277" s="13"/>
      <c r="X277" s="13"/>
      <c r="Y277" s="13"/>
    </row>
    <row r="278" spans="1:25" x14ac:dyDescent="0.25">
      <c r="A278" s="233"/>
      <c r="B278" s="233"/>
      <c r="C278" s="233"/>
      <c r="D278" s="233"/>
      <c r="G278" s="238"/>
      <c r="H278" s="243"/>
      <c r="I278" s="233"/>
      <c r="J278" s="233"/>
      <c r="K278" s="243"/>
      <c r="L278" s="13"/>
      <c r="M278" s="13"/>
      <c r="N278" s="13"/>
      <c r="O278" s="13"/>
      <c r="P278" s="13"/>
      <c r="Q278" s="13"/>
      <c r="R278" s="13"/>
      <c r="S278" s="13"/>
      <c r="T278" s="13"/>
      <c r="U278" s="13"/>
      <c r="V278" s="13"/>
      <c r="W278" s="13"/>
      <c r="X278" s="13"/>
      <c r="Y278" s="13"/>
    </row>
    <row r="279" spans="1:25" x14ac:dyDescent="0.25">
      <c r="A279" s="233"/>
      <c r="B279" s="233"/>
      <c r="C279" s="233"/>
      <c r="D279" s="233"/>
      <c r="G279" s="238"/>
      <c r="H279" s="243"/>
      <c r="I279" s="233"/>
      <c r="J279" s="233"/>
      <c r="K279" s="243"/>
      <c r="L279" s="13"/>
      <c r="M279" s="13"/>
      <c r="N279" s="13"/>
      <c r="O279" s="13"/>
      <c r="P279" s="13"/>
      <c r="Q279" s="13"/>
      <c r="R279" s="13"/>
      <c r="S279" s="13"/>
      <c r="T279" s="13"/>
      <c r="U279" s="13"/>
      <c r="V279" s="13"/>
      <c r="W279" s="13"/>
      <c r="X279" s="13"/>
      <c r="Y279" s="13"/>
    </row>
    <row r="280" spans="1:25" x14ac:dyDescent="0.25">
      <c r="A280" s="235"/>
      <c r="B280" s="235"/>
      <c r="C280" s="235"/>
      <c r="D280" s="235"/>
      <c r="E280" s="236"/>
      <c r="F280" s="236"/>
      <c r="G280" s="240"/>
      <c r="H280" s="246"/>
      <c r="I280" s="233"/>
      <c r="J280" s="233"/>
      <c r="K280" s="243"/>
      <c r="L280" s="13"/>
      <c r="M280" s="13"/>
      <c r="N280" s="13"/>
      <c r="O280" s="13"/>
      <c r="P280" s="13"/>
      <c r="Q280" s="13"/>
      <c r="R280" s="13"/>
      <c r="S280" s="13"/>
      <c r="T280" s="13"/>
      <c r="U280" s="13"/>
      <c r="V280" s="13"/>
      <c r="W280" s="13"/>
      <c r="X280" s="13"/>
      <c r="Y280" s="13"/>
    </row>
    <row r="281" spans="1:25" x14ac:dyDescent="0.25">
      <c r="A281" s="248"/>
      <c r="B281" s="237"/>
      <c r="C281" s="237"/>
      <c r="D281" s="237"/>
      <c r="E281" s="237"/>
      <c r="F281" s="237"/>
      <c r="G281" s="241"/>
      <c r="H281" s="247"/>
      <c r="I281" s="233"/>
      <c r="J281" s="233"/>
      <c r="K281" s="243"/>
      <c r="L281" s="13"/>
      <c r="M281" s="13"/>
      <c r="N281" s="13"/>
      <c r="O281" s="13"/>
      <c r="P281" s="13"/>
      <c r="Q281" s="13"/>
      <c r="R281" s="13"/>
      <c r="S281" s="13"/>
      <c r="T281" s="13"/>
      <c r="U281" s="13"/>
      <c r="V281" s="13"/>
      <c r="W281" s="13"/>
      <c r="X281" s="13"/>
      <c r="Y281" s="13"/>
    </row>
    <row r="282" spans="1:25" x14ac:dyDescent="0.25">
      <c r="A282" s="233"/>
      <c r="B282" s="233"/>
      <c r="C282" s="233"/>
      <c r="D282" s="233"/>
      <c r="E282" s="233"/>
      <c r="F282" s="233"/>
      <c r="G282" s="238"/>
      <c r="H282" s="243"/>
      <c r="I282" s="233"/>
      <c r="J282" s="233"/>
      <c r="K282" s="243"/>
      <c r="L282" s="13"/>
      <c r="M282" s="13"/>
      <c r="N282" s="13"/>
      <c r="O282" s="13"/>
      <c r="P282" s="13"/>
      <c r="Q282" s="13"/>
      <c r="R282" s="13"/>
      <c r="S282" s="13"/>
      <c r="T282" s="13"/>
      <c r="U282" s="13"/>
      <c r="V282" s="13"/>
      <c r="W282" s="13"/>
      <c r="X282" s="13"/>
      <c r="Y282" s="13"/>
    </row>
    <row r="283" spans="1:25" x14ac:dyDescent="0.25">
      <c r="A283" s="233"/>
      <c r="B283" s="234"/>
      <c r="C283" s="234"/>
      <c r="D283" s="234"/>
      <c r="E283" s="234"/>
      <c r="F283" s="234"/>
      <c r="G283" s="239"/>
      <c r="H283" s="245"/>
      <c r="I283" s="233"/>
      <c r="J283" s="233"/>
      <c r="K283" s="243"/>
      <c r="L283" s="13"/>
      <c r="M283" s="13"/>
      <c r="N283" s="13"/>
      <c r="O283" s="13"/>
      <c r="P283" s="13"/>
      <c r="Q283" s="13"/>
      <c r="R283" s="13"/>
      <c r="S283" s="13"/>
      <c r="T283" s="13"/>
      <c r="U283" s="13"/>
      <c r="V283" s="13"/>
      <c r="W283" s="13"/>
      <c r="X283" s="13"/>
      <c r="Y283" s="13"/>
    </row>
    <row r="284" spans="1:25" x14ac:dyDescent="0.25">
      <c r="A284" s="233"/>
      <c r="B284" s="234"/>
      <c r="C284" s="234"/>
      <c r="D284" s="234"/>
      <c r="E284" s="234"/>
      <c r="F284" s="234"/>
      <c r="G284" s="239"/>
      <c r="H284" s="245"/>
      <c r="I284" s="233"/>
      <c r="J284" s="233"/>
      <c r="K284" s="243"/>
      <c r="L284" s="13"/>
      <c r="M284" s="13"/>
      <c r="N284" s="13"/>
      <c r="O284" s="13"/>
      <c r="P284" s="13"/>
      <c r="Q284" s="13"/>
      <c r="R284" s="13"/>
      <c r="S284" s="13"/>
      <c r="T284" s="13"/>
      <c r="U284" s="13"/>
      <c r="V284" s="13"/>
      <c r="W284" s="13"/>
      <c r="X284" s="13"/>
      <c r="Y284" s="13"/>
    </row>
    <row r="285" spans="1:25" x14ac:dyDescent="0.25">
      <c r="A285" s="233"/>
      <c r="B285" s="233"/>
      <c r="C285" s="233"/>
      <c r="D285" s="233"/>
      <c r="E285" s="233"/>
      <c r="F285" s="233"/>
      <c r="G285" s="238"/>
      <c r="H285" s="243"/>
      <c r="I285" s="233"/>
      <c r="J285" s="233"/>
      <c r="K285" s="243"/>
      <c r="L285" s="13"/>
      <c r="M285" s="13"/>
      <c r="N285" s="13"/>
      <c r="O285" s="13"/>
      <c r="P285" s="13"/>
      <c r="Q285" s="13"/>
      <c r="R285" s="13"/>
      <c r="S285" s="13"/>
      <c r="T285" s="13"/>
      <c r="U285" s="13"/>
      <c r="V285" s="13"/>
      <c r="W285" s="13"/>
      <c r="X285" s="13"/>
      <c r="Y285" s="13"/>
    </row>
    <row r="286" spans="1:25" x14ac:dyDescent="0.25">
      <c r="A286" s="233"/>
      <c r="B286" s="233"/>
      <c r="C286" s="233"/>
      <c r="D286" s="233"/>
      <c r="E286" s="233"/>
      <c r="F286" s="233"/>
      <c r="G286" s="238"/>
      <c r="H286" s="243"/>
      <c r="K286" s="13"/>
      <c r="L286" s="13"/>
      <c r="M286" s="13"/>
      <c r="N286" s="13"/>
      <c r="O286" s="13"/>
      <c r="P286" s="13"/>
      <c r="Q286" s="13"/>
      <c r="R286" s="13"/>
      <c r="S286" s="13"/>
      <c r="T286" s="13"/>
      <c r="U286" s="13"/>
      <c r="V286" s="13"/>
      <c r="W286" s="13"/>
      <c r="X286" s="13"/>
      <c r="Y286" s="13"/>
    </row>
    <row r="287" spans="1:25" x14ac:dyDescent="0.25">
      <c r="A287" s="233"/>
      <c r="B287" s="233"/>
      <c r="C287" s="233"/>
      <c r="D287" s="233"/>
      <c r="E287" s="233"/>
      <c r="F287" s="233"/>
      <c r="G287" s="238"/>
      <c r="H287" s="243"/>
      <c r="K287" s="13"/>
      <c r="L287" s="13"/>
      <c r="M287" s="13"/>
      <c r="N287" s="13"/>
      <c r="O287" s="13"/>
      <c r="P287" s="13"/>
      <c r="Q287" s="13"/>
      <c r="R287" s="13"/>
      <c r="S287" s="13"/>
      <c r="T287" s="13"/>
      <c r="U287" s="13"/>
      <c r="V287" s="13"/>
      <c r="W287" s="13"/>
      <c r="X287" s="13"/>
      <c r="Y287" s="13"/>
    </row>
    <row r="288" spans="1:25" x14ac:dyDescent="0.25">
      <c r="K288" s="13"/>
      <c r="L288" s="13"/>
      <c r="M288" s="13"/>
      <c r="N288" s="13"/>
      <c r="O288" s="13"/>
      <c r="P288" s="13"/>
      <c r="Q288" s="13"/>
      <c r="R288" s="13"/>
      <c r="S288" s="13"/>
      <c r="T288" s="13"/>
      <c r="U288" s="13"/>
      <c r="V288" s="13"/>
      <c r="W288" s="13"/>
      <c r="X288" s="13"/>
      <c r="Y288" s="13"/>
    </row>
    <row r="289" spans="11:25" x14ac:dyDescent="0.25">
      <c r="K289" s="13"/>
      <c r="L289" s="13"/>
      <c r="M289" s="13"/>
      <c r="N289" s="13"/>
      <c r="O289" s="13"/>
      <c r="P289" s="13"/>
      <c r="Q289" s="13"/>
      <c r="R289" s="13"/>
      <c r="S289" s="13"/>
      <c r="T289" s="13"/>
      <c r="U289" s="13"/>
      <c r="V289" s="13"/>
      <c r="W289" s="13"/>
      <c r="X289" s="13"/>
      <c r="Y289" s="13"/>
    </row>
    <row r="290" spans="11:25" x14ac:dyDescent="0.25">
      <c r="K290" s="13"/>
      <c r="L290" s="13"/>
      <c r="M290" s="13"/>
      <c r="N290" s="13"/>
      <c r="O290" s="13"/>
      <c r="P290" s="13"/>
      <c r="Q290" s="13"/>
      <c r="R290" s="13"/>
      <c r="S290" s="13"/>
      <c r="T290" s="13"/>
      <c r="U290" s="13"/>
      <c r="V290" s="13"/>
      <c r="W290" s="13"/>
      <c r="X290" s="13"/>
      <c r="Y290" s="13"/>
    </row>
    <row r="291" spans="11:25" x14ac:dyDescent="0.25">
      <c r="K291" s="13"/>
      <c r="L291" s="13"/>
      <c r="M291" s="13"/>
      <c r="N291" s="13"/>
      <c r="O291" s="13"/>
      <c r="P291" s="13"/>
      <c r="Q291" s="13"/>
      <c r="R291" s="13"/>
      <c r="S291" s="13"/>
      <c r="T291" s="13"/>
      <c r="U291" s="13"/>
      <c r="V291" s="13"/>
      <c r="W291" s="13"/>
      <c r="X291" s="13"/>
      <c r="Y291" s="13"/>
    </row>
    <row r="292" spans="11:25" x14ac:dyDescent="0.25">
      <c r="K292" s="13"/>
      <c r="L292" s="13"/>
      <c r="M292" s="13"/>
      <c r="N292" s="13"/>
      <c r="O292" s="13"/>
      <c r="P292" s="13"/>
      <c r="Q292" s="13"/>
      <c r="R292" s="13"/>
      <c r="S292" s="13"/>
      <c r="T292" s="13"/>
      <c r="U292" s="13"/>
      <c r="V292" s="13"/>
      <c r="W292" s="13"/>
      <c r="X292" s="13"/>
      <c r="Y292" s="13"/>
    </row>
    <row r="293" spans="11:25" x14ac:dyDescent="0.25">
      <c r="K293" s="13"/>
      <c r="L293" s="13"/>
      <c r="M293" s="13"/>
      <c r="N293" s="13"/>
      <c r="O293" s="13"/>
      <c r="P293" s="13"/>
      <c r="Q293" s="13"/>
      <c r="R293" s="13"/>
      <c r="S293" s="13"/>
      <c r="T293" s="13"/>
      <c r="U293" s="13"/>
      <c r="V293" s="13"/>
      <c r="W293" s="13"/>
      <c r="X293" s="13"/>
      <c r="Y293" s="13"/>
    </row>
    <row r="294" spans="11:25" x14ac:dyDescent="0.25">
      <c r="K294" s="13"/>
      <c r="L294" s="13"/>
      <c r="M294" s="13"/>
      <c r="N294" s="13"/>
      <c r="O294" s="13"/>
      <c r="P294" s="13"/>
      <c r="Q294" s="13"/>
      <c r="R294" s="13"/>
      <c r="S294" s="13"/>
      <c r="T294" s="13"/>
      <c r="U294" s="13"/>
      <c r="V294" s="13"/>
      <c r="W294" s="13"/>
      <c r="X294" s="13"/>
      <c r="Y294" s="13"/>
    </row>
    <row r="295" spans="11:25" x14ac:dyDescent="0.25">
      <c r="K295" s="13"/>
      <c r="L295" s="13"/>
      <c r="M295" s="13"/>
      <c r="N295" s="13"/>
      <c r="O295" s="13"/>
      <c r="P295" s="13"/>
      <c r="Q295" s="13"/>
      <c r="R295" s="13"/>
      <c r="S295" s="13"/>
      <c r="T295" s="13"/>
      <c r="U295" s="13"/>
      <c r="V295" s="13"/>
      <c r="W295" s="13"/>
      <c r="X295" s="13"/>
      <c r="Y295" s="13"/>
    </row>
    <row r="296" spans="11:25" x14ac:dyDescent="0.25">
      <c r="K296" s="13"/>
      <c r="L296" s="13"/>
      <c r="M296" s="13"/>
      <c r="N296" s="13"/>
      <c r="O296" s="13"/>
      <c r="P296" s="13"/>
      <c r="Q296" s="13"/>
      <c r="R296" s="13"/>
      <c r="S296" s="13"/>
      <c r="T296" s="13"/>
      <c r="U296" s="13"/>
      <c r="V296" s="13"/>
      <c r="W296" s="13"/>
      <c r="X296" s="13"/>
      <c r="Y296" s="13"/>
    </row>
    <row r="297" spans="11:25" x14ac:dyDescent="0.25">
      <c r="K297" s="13"/>
      <c r="L297" s="13"/>
      <c r="M297" s="13"/>
      <c r="N297" s="13"/>
      <c r="O297" s="13"/>
      <c r="P297" s="13"/>
      <c r="Q297" s="13"/>
      <c r="R297" s="13"/>
      <c r="S297" s="13"/>
      <c r="T297" s="13"/>
      <c r="U297" s="13"/>
      <c r="V297" s="13"/>
      <c r="W297" s="13"/>
      <c r="X297" s="13"/>
      <c r="Y297" s="13"/>
    </row>
    <row r="298" spans="11:25" x14ac:dyDescent="0.25">
      <c r="K298" s="13"/>
      <c r="L298" s="13"/>
      <c r="M298" s="13"/>
      <c r="N298" s="13"/>
      <c r="O298" s="13"/>
      <c r="P298" s="13"/>
      <c r="Q298" s="13"/>
      <c r="R298" s="13"/>
      <c r="S298" s="13"/>
      <c r="T298" s="13"/>
      <c r="U298" s="13"/>
      <c r="V298" s="13"/>
      <c r="W298" s="13"/>
      <c r="X298" s="13"/>
      <c r="Y298" s="13"/>
    </row>
  </sheetData>
  <sheetProtection algorithmName="SHA-512" hashValue="2zB4V+1kB7b8A4O5vEF+coVhuFKIORUFRrb3Evp8ur7oeRH9+OoXJUt4uOLziLvyZgzO/78SyxPA3a3+1E2qfQ==" saltValue="CjzgcVv08NdYktTTVfxH7A==" spinCount="100000" sheet="1" objects="1" scenarios="1"/>
  <mergeCells count="126">
    <mergeCell ref="A205:G211"/>
    <mergeCell ref="A212:G212"/>
    <mergeCell ref="D23:E23"/>
    <mergeCell ref="D10:E10"/>
    <mergeCell ref="A49:G49"/>
    <mergeCell ref="A52:G52"/>
    <mergeCell ref="C178:D178"/>
    <mergeCell ref="A65:G67"/>
    <mergeCell ref="A5:G5"/>
    <mergeCell ref="C190:D190"/>
    <mergeCell ref="A177:D177"/>
    <mergeCell ref="C182:D182"/>
    <mergeCell ref="A195:G195"/>
    <mergeCell ref="A11:C11"/>
    <mergeCell ref="B98:C98"/>
    <mergeCell ref="A68:G68"/>
    <mergeCell ref="C144:D144"/>
    <mergeCell ref="A74:G74"/>
    <mergeCell ref="A43:G43"/>
    <mergeCell ref="A46:G46"/>
    <mergeCell ref="A34:G34"/>
    <mergeCell ref="A40:G40"/>
    <mergeCell ref="C183:D183"/>
    <mergeCell ref="C184:D184"/>
    <mergeCell ref="L19:N21"/>
    <mergeCell ref="A18:C18"/>
    <mergeCell ref="A21:C21"/>
    <mergeCell ref="A19:C19"/>
    <mergeCell ref="A27:C27"/>
    <mergeCell ref="A13:C13"/>
    <mergeCell ref="A14:C14"/>
    <mergeCell ref="A15:C15"/>
    <mergeCell ref="A28:C28"/>
    <mergeCell ref="D27:G27"/>
    <mergeCell ref="A17:C17"/>
    <mergeCell ref="A25:C25"/>
    <mergeCell ref="A26:C26"/>
    <mergeCell ref="C188:D188"/>
    <mergeCell ref="C189:D189"/>
    <mergeCell ref="C179:D179"/>
    <mergeCell ref="A155:F155"/>
    <mergeCell ref="C186:D186"/>
    <mergeCell ref="M30:N30"/>
    <mergeCell ref="M29:N29"/>
    <mergeCell ref="A29:C29"/>
    <mergeCell ref="E187:F187"/>
    <mergeCell ref="E188:F188"/>
    <mergeCell ref="E189:F189"/>
    <mergeCell ref="E156:F156"/>
    <mergeCell ref="E157:F157"/>
    <mergeCell ref="E158:F158"/>
    <mergeCell ref="E182:F182"/>
    <mergeCell ref="E183:F183"/>
    <mergeCell ref="E184:F184"/>
    <mergeCell ref="B161:D161"/>
    <mergeCell ref="C180:D180"/>
    <mergeCell ref="A171:G174"/>
    <mergeCell ref="C185:D185"/>
    <mergeCell ref="B164:D164"/>
    <mergeCell ref="C145:D145"/>
    <mergeCell ref="C146:D146"/>
    <mergeCell ref="C151:D151"/>
    <mergeCell ref="B156:D156"/>
    <mergeCell ref="B157:D157"/>
    <mergeCell ref="C187:D187"/>
    <mergeCell ref="B159:D159"/>
    <mergeCell ref="E160:F160"/>
    <mergeCell ref="D13:G13"/>
    <mergeCell ref="D14:G14"/>
    <mergeCell ref="D15:G15"/>
    <mergeCell ref="D18:G18"/>
    <mergeCell ref="D19:G19"/>
    <mergeCell ref="D25:G25"/>
    <mergeCell ref="D26:G26"/>
    <mergeCell ref="D33:F33"/>
    <mergeCell ref="A33:C33"/>
    <mergeCell ref="A31:C31"/>
    <mergeCell ref="A32:C32"/>
    <mergeCell ref="A213:G213"/>
    <mergeCell ref="E190:F190"/>
    <mergeCell ref="E191:F191"/>
    <mergeCell ref="A196:G196"/>
    <mergeCell ref="A194:G194"/>
    <mergeCell ref="B165:D165"/>
    <mergeCell ref="B166:D166"/>
    <mergeCell ref="B167:D167"/>
    <mergeCell ref="B168:D168"/>
    <mergeCell ref="B169:D169"/>
    <mergeCell ref="E166:F166"/>
    <mergeCell ref="E167:F167"/>
    <mergeCell ref="E168:F168"/>
    <mergeCell ref="A199:C199"/>
    <mergeCell ref="A200:C200"/>
    <mergeCell ref="D199:E199"/>
    <mergeCell ref="D200:E200"/>
    <mergeCell ref="F199:G199"/>
    <mergeCell ref="F200:G200"/>
    <mergeCell ref="A201:G203"/>
    <mergeCell ref="C181:D181"/>
    <mergeCell ref="E169:F169"/>
    <mergeCell ref="E165:F165"/>
    <mergeCell ref="A198:G198"/>
    <mergeCell ref="A1:G1"/>
    <mergeCell ref="P156:R156"/>
    <mergeCell ref="P155:R155"/>
    <mergeCell ref="E161:F161"/>
    <mergeCell ref="E163:F163"/>
    <mergeCell ref="E164:F164"/>
    <mergeCell ref="B163:D163"/>
    <mergeCell ref="E185:F185"/>
    <mergeCell ref="E186:F186"/>
    <mergeCell ref="E162:F162"/>
    <mergeCell ref="A176:D176"/>
    <mergeCell ref="E178:F178"/>
    <mergeCell ref="E179:F179"/>
    <mergeCell ref="E180:F180"/>
    <mergeCell ref="E181:F181"/>
    <mergeCell ref="B162:D162"/>
    <mergeCell ref="A2:G2"/>
    <mergeCell ref="K39:L39"/>
    <mergeCell ref="A47:C47"/>
    <mergeCell ref="K45:L45"/>
    <mergeCell ref="A3:G3"/>
    <mergeCell ref="B158:D158"/>
    <mergeCell ref="B160:D160"/>
    <mergeCell ref="E159:F159"/>
  </mergeCells>
  <conditionalFormatting sqref="A40 K68">
    <cfRule type="notContainsBlanks" dxfId="17" priority="47">
      <formula>LEN(TRIM(A40))&gt;0</formula>
    </cfRule>
  </conditionalFormatting>
  <conditionalFormatting sqref="A32:C32">
    <cfRule type="expression" dxfId="16" priority="1">
      <formula>$E$31="Ja"</formula>
    </cfRule>
  </conditionalFormatting>
  <conditionalFormatting sqref="A33:C33">
    <cfRule type="expression" dxfId="15" priority="6">
      <formula>$D$23="Far / Medmor"</formula>
    </cfRule>
  </conditionalFormatting>
  <conditionalFormatting sqref="A43:G43">
    <cfRule type="notContainsBlanks" dxfId="14" priority="20">
      <formula>LEN(TRIM(A43))&gt;0</formula>
    </cfRule>
    <cfRule type="notContainsBlanks" dxfId="13" priority="21">
      <formula>LEN(TRIM(A43))&gt;0</formula>
    </cfRule>
    <cfRule type="notContainsBlanks" priority="22">
      <formula>LEN(TRIM(A43))&gt;0</formula>
    </cfRule>
  </conditionalFormatting>
  <conditionalFormatting sqref="A46:G46">
    <cfRule type="notContainsBlanks" dxfId="12" priority="19">
      <formula>LEN(TRIM(A46))&gt;0</formula>
    </cfRule>
  </conditionalFormatting>
  <conditionalFormatting sqref="A49:G49">
    <cfRule type="notContainsBlanks" dxfId="11" priority="18">
      <formula>LEN(TRIM(A49))&gt;0</formula>
    </cfRule>
  </conditionalFormatting>
  <conditionalFormatting sqref="A52:G52">
    <cfRule type="notContainsBlanks" dxfId="10" priority="17">
      <formula>LEN(TRIM(A52))&gt;0</formula>
    </cfRule>
  </conditionalFormatting>
  <conditionalFormatting sqref="A74:G74">
    <cfRule type="notContainsBlanks" dxfId="9" priority="15">
      <formula>LEN(TRIM(A74))&gt;0</formula>
    </cfRule>
  </conditionalFormatting>
  <conditionalFormatting sqref="A194:G194">
    <cfRule type="notContainsBlanks" dxfId="8" priority="14">
      <formula>LEN(TRIM(A194))&gt;0</formula>
    </cfRule>
  </conditionalFormatting>
  <conditionalFormatting sqref="B157:B168">
    <cfRule type="expression" dxfId="7" priority="63">
      <formula>AND(ISNUMBER($S158),$K$72)</formula>
    </cfRule>
  </conditionalFormatting>
  <conditionalFormatting sqref="B179:B190">
    <cfRule type="expression" dxfId="6" priority="64">
      <formula>AND(ISNUMBER($S158),$K$48)</formula>
    </cfRule>
  </conditionalFormatting>
  <conditionalFormatting sqref="C179:D190">
    <cfRule type="expression" dxfId="5" priority="65">
      <formula>AND(ISNUMBER($S158),$K$42)</formula>
    </cfRule>
  </conditionalFormatting>
  <conditionalFormatting sqref="D32">
    <cfRule type="expression" dxfId="4" priority="2">
      <formula>$E$31="Ja"</formula>
    </cfRule>
  </conditionalFormatting>
  <conditionalFormatting sqref="D33:F33">
    <cfRule type="expression" dxfId="3" priority="7">
      <formula>$D$23="Far / Medmor"</formula>
    </cfRule>
  </conditionalFormatting>
  <conditionalFormatting sqref="E57:F60">
    <cfRule type="expression" dxfId="2" priority="5">
      <formula>$K$51</formula>
    </cfRule>
  </conditionalFormatting>
  <conditionalFormatting sqref="F73">
    <cfRule type="expression" dxfId="1" priority="9">
      <formula>$F$72="Nej"</formula>
    </cfRule>
  </conditionalFormatting>
  <conditionalFormatting sqref="G29">
    <cfRule type="expression" dxfId="0" priority="4">
      <formula>$D$23 = "Far / Medmor"</formula>
    </cfRule>
  </conditionalFormatting>
  <dataValidations xWindow="508" yWindow="625" count="12">
    <dataValidation type="list" allowBlank="1" showInputMessage="1" showErrorMessage="1" prompt="Vælg om den barslende er mor eller far (medmor)" sqref="D23:E23" xr:uid="{C4EABBFF-F3D0-45AA-9DD8-F98D39166EC1}">
      <formula1>"Mor, Far / Medmor"</formula1>
    </dataValidation>
    <dataValidation type="list" allowBlank="1" showInputMessage="1" showErrorMessage="1" sqref="G50" xr:uid="{991948CF-EA44-4CC0-9754-3D5D9F7C12E2}">
      <formula1>",Nej,Ja "</formula1>
    </dataValidation>
    <dataValidation type="list" allowBlank="1" showErrorMessage="1" promptTitle="Lønændringer" prompt="Har den barslens løn ændret sig over tid " sqref="F48" xr:uid="{718FB424-67FF-4A68-A900-80FD0FA90945}">
      <formula1>"Nej,Ja"</formula1>
    </dataValidation>
    <dataValidation type="list" allowBlank="1" showErrorMessage="1" promptTitle="Har lønbrøkken ændret sig " prompt="Har lønbrøkken ændret sig over ansættelsen " sqref="F42" xr:uid="{62593C62-3366-4CEE-879A-B4CE9B91BC00}">
      <formula1>"Nej , Ja"</formula1>
    </dataValidation>
    <dataValidation type="list" allowBlank="1" showErrorMessage="1" promptTitle="nedsatte graviditetsgener" prompt="Vælg om der har været nedsatte graviditetsgener" sqref="F72" xr:uid="{48FC254E-F270-42C1-B358-2D8BBAABA9C5}">
      <formula1>"Nej, Ja"</formula1>
    </dataValidation>
    <dataValidation type="date" allowBlank="1" showInputMessage="1" showErrorMessage="1" error="Mulige fejl:  1.Arket virker kun for indberetninger for ét år ad gangen 2.Datoer skal skrives i formattet xx-xx-xxxx. Kontakt eventuelt Koncernservice for hjælp._x000a_" promptTitle="Angiv dato" prompt="Angiv dato i dd-mm-åå." sqref="E57:F60" xr:uid="{69F71278-EB0F-4A93-A5EF-4F7936649449}">
      <formula1>$K$17</formula1>
      <formula2>$L$17</formula2>
    </dataValidation>
    <dataValidation type="date" allowBlank="1" showInputMessage="1" showErrorMessage="1" error="Mulige fejl:  1.Arket virker kun for indberetninger for ét år ad gangen 2.Datoer skal skrives i formattet xx-xx-xxxx. Kontakt eventuelt Koncernservice for hjælp._x000a_" prompt="dd-mm-åå" sqref="F73" xr:uid="{F9A2D3FB-ED37-41E2-9FC9-0971D062C3B0}">
      <formula1>$K$17</formula1>
      <formula2>$L$17</formula2>
    </dataValidation>
    <dataValidation type="date" operator="greaterThanOrEqual" allowBlank="1" showInputMessage="1" showErrorMessage="1" error="dato er før 01-01-2023." prompt="dd-mm-åå" sqref="G29" xr:uid="{131E8FDC-AC69-4F2D-AD1B-688995293250}">
      <formula1>44927</formula1>
    </dataValidation>
    <dataValidation type="list" allowBlank="1" showInputMessage="1" showErrorMessage="1" promptTitle="Kun for Far / Medmor " prompt="Inkludere den angivet periode 2 ugers fædreorlov? " sqref="D33:F33" xr:uid="{82573CCC-2BAD-4CD4-8502-CC8AF1D678DF}">
      <formula1>"Ja,Nej"</formula1>
    </dataValidation>
    <dataValidation type="list" allowBlank="1" showInputMessage="1" showErrorMessage="1" sqref="E31" xr:uid="{713CE98D-C7A1-4F1C-ACDA-1E73634D3371}">
      <formula1>"Ja,Nej"</formula1>
    </dataValidation>
    <dataValidation type="date" allowBlank="1" showInputMessage="1" showErrorMessage="1" error="Mulige fejl:  1.Arket virker kun for indberetninger for ét år ad gangen 2.Datoer skal skrives i formattet xx-xx-xxxx. Kontakt eventuelt Koncernservice for hjælp." sqref="E30" xr:uid="{6AAD10DF-52D8-435C-A133-B09B45A18807}">
      <formula1>K17</formula1>
      <formula2>L17</formula2>
    </dataValidation>
    <dataValidation type="date" allowBlank="1" showInputMessage="1" showErrorMessage="1" error="Mulige fejl:  1.Arket virker kun for indberetninger for ét år ad gangen 2.Datoer skal skrives i formattet xx-xx-xxxx. Kontakt eventuelt Koncernservice for hjælp." sqref="G30" xr:uid="{CC921E92-78BE-49AA-A723-FDDAAA47BB37}">
      <formula1>$K$17</formula1>
      <formula2>$L$17</formula2>
    </dataValidation>
  </dataValidations>
  <printOptions gridLines="1"/>
  <pageMargins left="0.25" right="0.25" top="0.75" bottom="0.75" header="0.3" footer="0.3"/>
  <pageSetup paperSize="9" scale="60" orientation="portrait"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9C831-EE1C-449D-A8D0-B072E069DC3B}">
  <sheetPr>
    <tabColor rgb="FFC9BFE1"/>
  </sheetPr>
  <dimension ref="A1:C52"/>
  <sheetViews>
    <sheetView topLeftCell="A3" zoomScale="160" zoomScaleNormal="160" workbookViewId="0">
      <selection activeCell="B11" sqref="B11"/>
    </sheetView>
  </sheetViews>
  <sheetFormatPr defaultColWidth="9.140625" defaultRowHeight="15" x14ac:dyDescent="0.25"/>
  <cols>
    <col min="3" max="3" width="9.5703125" customWidth="1"/>
    <col min="5" max="5" width="12.5703125" customWidth="1"/>
  </cols>
  <sheetData>
    <row r="1" spans="1:3" x14ac:dyDescent="0.25">
      <c r="A1" t="s">
        <v>205</v>
      </c>
    </row>
    <row r="3" spans="1:3" x14ac:dyDescent="0.25">
      <c r="B3" t="s">
        <v>206</v>
      </c>
      <c r="C3" t="s">
        <v>171</v>
      </c>
    </row>
    <row r="4" spans="1:3" x14ac:dyDescent="0.25">
      <c r="A4" s="161"/>
      <c r="B4" s="161">
        <v>860</v>
      </c>
      <c r="C4" s="161"/>
    </row>
    <row r="5" spans="1:3" x14ac:dyDescent="0.25">
      <c r="A5" s="161">
        <v>2019</v>
      </c>
      <c r="B5" s="161">
        <v>871</v>
      </c>
      <c r="C5" s="161"/>
    </row>
    <row r="6" spans="1:3" x14ac:dyDescent="0.25">
      <c r="A6" s="161">
        <v>2020</v>
      </c>
      <c r="B6" s="161">
        <v>881</v>
      </c>
      <c r="C6" s="161"/>
    </row>
    <row r="7" spans="1:3" x14ac:dyDescent="0.25">
      <c r="A7" s="161">
        <v>2021</v>
      </c>
      <c r="B7" s="161">
        <v>892</v>
      </c>
      <c r="C7" s="161"/>
    </row>
    <row r="8" spans="1:3" x14ac:dyDescent="0.25">
      <c r="A8" s="161">
        <v>2022</v>
      </c>
      <c r="B8" s="162">
        <v>893</v>
      </c>
      <c r="C8" s="161"/>
    </row>
    <row r="9" spans="1:3" x14ac:dyDescent="0.25">
      <c r="A9" s="161">
        <v>2023</v>
      </c>
      <c r="B9" s="162">
        <v>911</v>
      </c>
      <c r="C9" s="161">
        <v>19728</v>
      </c>
    </row>
    <row r="10" spans="1:3" x14ac:dyDescent="0.25">
      <c r="A10" s="161">
        <v>2024</v>
      </c>
      <c r="B10" s="162">
        <v>953</v>
      </c>
      <c r="C10" s="163">
        <v>20648.333333333299</v>
      </c>
    </row>
    <row r="11" spans="1:3" x14ac:dyDescent="0.25">
      <c r="A11" s="161">
        <v>2025</v>
      </c>
      <c r="B11" s="161">
        <v>991</v>
      </c>
      <c r="C11" s="254">
        <v>21471</v>
      </c>
    </row>
    <row r="12" spans="1:3" x14ac:dyDescent="0.25">
      <c r="A12" s="161">
        <v>2026</v>
      </c>
      <c r="B12" s="164"/>
      <c r="C12" s="164"/>
    </row>
    <row r="13" spans="1:3" x14ac:dyDescent="0.25">
      <c r="A13" s="161">
        <v>2027</v>
      </c>
      <c r="B13" s="164"/>
      <c r="C13" s="164"/>
    </row>
    <row r="14" spans="1:3" x14ac:dyDescent="0.25">
      <c r="A14" s="161">
        <v>2028</v>
      </c>
      <c r="B14" s="164"/>
      <c r="C14" s="164"/>
    </row>
    <row r="15" spans="1:3" x14ac:dyDescent="0.25">
      <c r="A15" s="161">
        <v>2029</v>
      </c>
      <c r="B15" s="164"/>
      <c r="C15" s="164"/>
    </row>
    <row r="16" spans="1:3" x14ac:dyDescent="0.25">
      <c r="A16" s="161">
        <v>2030</v>
      </c>
      <c r="B16" s="164"/>
      <c r="C16" s="164"/>
    </row>
    <row r="17" spans="1:3" x14ac:dyDescent="0.25">
      <c r="A17" s="161">
        <v>2031</v>
      </c>
      <c r="B17" s="164"/>
      <c r="C17" s="164"/>
    </row>
    <row r="18" spans="1:3" x14ac:dyDescent="0.25">
      <c r="A18" s="161">
        <v>2032</v>
      </c>
      <c r="B18" s="164"/>
      <c r="C18" s="164"/>
    </row>
    <row r="19" spans="1:3" x14ac:dyDescent="0.25">
      <c r="A19" s="161">
        <v>2033</v>
      </c>
      <c r="B19" s="164"/>
      <c r="C19" s="164"/>
    </row>
    <row r="20" spans="1:3" x14ac:dyDescent="0.25">
      <c r="A20" s="161">
        <v>2034</v>
      </c>
      <c r="B20" s="164"/>
      <c r="C20" s="164"/>
    </row>
    <row r="21" spans="1:3" x14ac:dyDescent="0.25">
      <c r="A21" s="161">
        <v>2035</v>
      </c>
      <c r="B21" s="164"/>
      <c r="C21" s="164"/>
    </row>
    <row r="22" spans="1:3" x14ac:dyDescent="0.25">
      <c r="A22" s="161">
        <v>2036</v>
      </c>
      <c r="B22" s="164"/>
      <c r="C22" s="164"/>
    </row>
    <row r="23" spans="1:3" x14ac:dyDescent="0.25">
      <c r="A23" s="161">
        <v>2037</v>
      </c>
      <c r="B23" s="164"/>
      <c r="C23" s="164"/>
    </row>
    <row r="24" spans="1:3" x14ac:dyDescent="0.25">
      <c r="A24" s="161">
        <v>2038</v>
      </c>
      <c r="B24" s="164"/>
      <c r="C24" s="164"/>
    </row>
    <row r="25" spans="1:3" x14ac:dyDescent="0.25">
      <c r="A25" s="161">
        <v>2039</v>
      </c>
      <c r="B25" s="164"/>
      <c r="C25" s="164"/>
    </row>
    <row r="26" spans="1:3" x14ac:dyDescent="0.25">
      <c r="A26" s="161">
        <v>2040</v>
      </c>
      <c r="B26" s="164"/>
      <c r="C26" s="164"/>
    </row>
    <row r="27" spans="1:3" x14ac:dyDescent="0.25">
      <c r="A27" s="161">
        <v>2041</v>
      </c>
      <c r="B27" s="164"/>
      <c r="C27" s="164"/>
    </row>
    <row r="28" spans="1:3" x14ac:dyDescent="0.25">
      <c r="A28" s="161">
        <v>2042</v>
      </c>
      <c r="B28" s="164"/>
      <c r="C28" s="164"/>
    </row>
    <row r="29" spans="1:3" x14ac:dyDescent="0.25">
      <c r="A29" s="161">
        <v>2043</v>
      </c>
      <c r="B29" s="164"/>
      <c r="C29" s="164"/>
    </row>
    <row r="30" spans="1:3" x14ac:dyDescent="0.25">
      <c r="A30" s="161">
        <v>2044</v>
      </c>
      <c r="B30" s="164"/>
      <c r="C30" s="164"/>
    </row>
    <row r="31" spans="1:3" x14ac:dyDescent="0.25">
      <c r="A31" s="161">
        <v>2045</v>
      </c>
      <c r="B31" s="164"/>
      <c r="C31" s="164"/>
    </row>
    <row r="32" spans="1:3" x14ac:dyDescent="0.25">
      <c r="A32" s="161">
        <v>2046</v>
      </c>
      <c r="B32" s="164"/>
      <c r="C32" s="164"/>
    </row>
    <row r="33" spans="1:3" x14ac:dyDescent="0.25">
      <c r="A33" s="161">
        <v>2047</v>
      </c>
      <c r="B33" s="164"/>
      <c r="C33" s="164"/>
    </row>
    <row r="34" spans="1:3" x14ac:dyDescent="0.25">
      <c r="A34" s="161">
        <v>2048</v>
      </c>
      <c r="B34" s="164"/>
      <c r="C34" s="164"/>
    </row>
    <row r="35" spans="1:3" x14ac:dyDescent="0.25">
      <c r="A35" s="161">
        <v>2049</v>
      </c>
      <c r="B35" s="164"/>
      <c r="C35" s="164"/>
    </row>
    <row r="36" spans="1:3" x14ac:dyDescent="0.25">
      <c r="A36" s="161">
        <v>2050</v>
      </c>
      <c r="B36" s="164"/>
      <c r="C36" s="164"/>
    </row>
    <row r="37" spans="1:3" x14ac:dyDescent="0.25">
      <c r="A37" s="161">
        <v>2051</v>
      </c>
      <c r="B37" s="164"/>
      <c r="C37" s="164"/>
    </row>
    <row r="38" spans="1:3" x14ac:dyDescent="0.25">
      <c r="A38" s="161">
        <v>2052</v>
      </c>
      <c r="B38" s="164"/>
      <c r="C38" s="164"/>
    </row>
    <row r="39" spans="1:3" x14ac:dyDescent="0.25">
      <c r="A39" s="161">
        <v>2053</v>
      </c>
      <c r="B39" s="164"/>
      <c r="C39" s="164"/>
    </row>
    <row r="40" spans="1:3" x14ac:dyDescent="0.25">
      <c r="A40" s="161">
        <v>2054</v>
      </c>
      <c r="B40" s="164"/>
      <c r="C40" s="164"/>
    </row>
    <row r="41" spans="1:3" x14ac:dyDescent="0.25">
      <c r="A41" s="161">
        <v>2055</v>
      </c>
      <c r="B41" s="164"/>
      <c r="C41" s="164"/>
    </row>
    <row r="42" spans="1:3" x14ac:dyDescent="0.25">
      <c r="A42" s="161">
        <v>2056</v>
      </c>
      <c r="B42" s="164"/>
      <c r="C42" s="164"/>
    </row>
    <row r="43" spans="1:3" x14ac:dyDescent="0.25">
      <c r="A43" s="161">
        <v>2057</v>
      </c>
      <c r="B43" s="164"/>
      <c r="C43" s="164"/>
    </row>
    <row r="44" spans="1:3" x14ac:dyDescent="0.25">
      <c r="A44" s="161">
        <v>2058</v>
      </c>
      <c r="B44" s="164"/>
      <c r="C44" s="164"/>
    </row>
    <row r="45" spans="1:3" x14ac:dyDescent="0.25">
      <c r="A45" s="161">
        <v>2059</v>
      </c>
      <c r="B45" s="164"/>
      <c r="C45" s="164"/>
    </row>
    <row r="46" spans="1:3" x14ac:dyDescent="0.25">
      <c r="A46" s="161">
        <v>2060</v>
      </c>
      <c r="B46" s="164"/>
      <c r="C46" s="164"/>
    </row>
    <row r="47" spans="1:3" x14ac:dyDescent="0.25">
      <c r="A47" s="161">
        <v>2061</v>
      </c>
      <c r="B47" s="164"/>
      <c r="C47" s="164"/>
    </row>
    <row r="48" spans="1:3" x14ac:dyDescent="0.25">
      <c r="A48" s="161">
        <v>2062</v>
      </c>
      <c r="B48" s="164"/>
      <c r="C48" s="164"/>
    </row>
    <row r="49" spans="1:3" x14ac:dyDescent="0.25">
      <c r="A49" s="161">
        <v>2063</v>
      </c>
      <c r="B49" s="164"/>
      <c r="C49" s="164"/>
    </row>
    <row r="50" spans="1:3" x14ac:dyDescent="0.25">
      <c r="A50" s="161">
        <v>2064</v>
      </c>
      <c r="B50" s="164"/>
      <c r="C50" s="164"/>
    </row>
    <row r="51" spans="1:3" x14ac:dyDescent="0.25">
      <c r="A51" s="161">
        <v>2065</v>
      </c>
      <c r="B51" s="164"/>
      <c r="C51" s="164"/>
    </row>
    <row r="52" spans="1:3" x14ac:dyDescent="0.25">
      <c r="A52" s="161">
        <v>2066</v>
      </c>
      <c r="B52" s="164"/>
      <c r="C52" s="16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07180-7064-4822-99AD-3C8B64BD6DDD}">
  <sheetPr>
    <tabColor rgb="FFC9BFE1"/>
  </sheetPr>
  <dimension ref="A1:AN201"/>
  <sheetViews>
    <sheetView showGridLines="0" zoomScale="85" zoomScaleNormal="85" workbookViewId="0">
      <selection activeCell="C1" sqref="C1"/>
    </sheetView>
  </sheetViews>
  <sheetFormatPr defaultColWidth="0" defaultRowHeight="15" zeroHeight="1" x14ac:dyDescent="0.25"/>
  <cols>
    <col min="1" max="1" width="11.5703125" style="165" customWidth="1"/>
    <col min="2" max="2" width="2.5703125" style="165" customWidth="1"/>
    <col min="3" max="3" width="107.85546875" customWidth="1"/>
    <col min="4" max="4" width="2.5703125" customWidth="1"/>
    <col min="5" max="5" width="11.5703125" style="165" customWidth="1"/>
    <col min="6" max="31" width="9.140625" style="165" hidden="1" customWidth="1"/>
    <col min="32" max="40" width="9.140625" hidden="1" customWidth="1"/>
    <col min="41" max="16384" width="8.5703125" hidden="1"/>
  </cols>
  <sheetData>
    <row r="1" spans="2:4" ht="56.1" customHeight="1" thickBot="1" x14ac:dyDescent="0.3"/>
    <row r="2" spans="2:4" ht="13.5" customHeight="1" thickTop="1" x14ac:dyDescent="0.25">
      <c r="B2" s="167"/>
      <c r="C2" s="168"/>
      <c r="D2" s="169"/>
    </row>
    <row r="3" spans="2:4" ht="408.95" customHeight="1" x14ac:dyDescent="0.25">
      <c r="B3" s="170"/>
      <c r="C3" s="433" t="s">
        <v>207</v>
      </c>
      <c r="D3" s="171"/>
    </row>
    <row r="4" spans="2:4" ht="238.5" customHeight="1" x14ac:dyDescent="0.25">
      <c r="B4" s="170"/>
      <c r="C4" s="433"/>
      <c r="D4" s="171"/>
    </row>
    <row r="5" spans="2:4" ht="5.0999999999999996" customHeight="1" thickBot="1" x14ac:dyDescent="0.3">
      <c r="B5" s="172"/>
      <c r="C5" s="173"/>
      <c r="D5" s="174"/>
    </row>
    <row r="6" spans="2:4" ht="56.1" customHeight="1" thickTop="1" x14ac:dyDescent="0.25">
      <c r="C6" s="166"/>
      <c r="D6" s="166"/>
    </row>
    <row r="7" spans="2:4" hidden="1" x14ac:dyDescent="0.25">
      <c r="C7" s="166"/>
      <c r="D7" s="166"/>
    </row>
    <row r="8" spans="2:4" hidden="1" x14ac:dyDescent="0.25">
      <c r="C8" s="166"/>
      <c r="D8" s="166"/>
    </row>
    <row r="9" spans="2:4" hidden="1" x14ac:dyDescent="0.25">
      <c r="C9" s="166"/>
      <c r="D9" s="166"/>
    </row>
    <row r="10" spans="2:4" hidden="1" x14ac:dyDescent="0.25">
      <c r="C10" s="166"/>
      <c r="D10" s="166"/>
    </row>
    <row r="11" spans="2:4" hidden="1" x14ac:dyDescent="0.25">
      <c r="C11" s="165"/>
      <c r="D11" s="165"/>
    </row>
    <row r="12" spans="2:4" hidden="1" x14ac:dyDescent="0.25">
      <c r="C12" s="165"/>
      <c r="D12" s="165"/>
    </row>
    <row r="13" spans="2:4" hidden="1" x14ac:dyDescent="0.25">
      <c r="C13" s="165"/>
      <c r="D13" s="165"/>
    </row>
    <row r="14" spans="2:4" hidden="1" x14ac:dyDescent="0.25">
      <c r="C14" s="165"/>
      <c r="D14" s="165"/>
    </row>
    <row r="15" spans="2:4" hidden="1" x14ac:dyDescent="0.25">
      <c r="C15" s="165"/>
      <c r="D15" s="165"/>
    </row>
    <row r="16" spans="2:4" hidden="1" x14ac:dyDescent="0.25">
      <c r="C16" s="165"/>
      <c r="D16" s="165"/>
    </row>
    <row r="17" spans="3:4" hidden="1" x14ac:dyDescent="0.25">
      <c r="C17" s="165"/>
      <c r="D17" s="165"/>
    </row>
    <row r="18" spans="3:4" hidden="1" x14ac:dyDescent="0.25">
      <c r="C18" s="165"/>
      <c r="D18" s="165"/>
    </row>
    <row r="19" spans="3:4" hidden="1" x14ac:dyDescent="0.25">
      <c r="C19" s="165"/>
      <c r="D19" s="165"/>
    </row>
    <row r="20" spans="3:4" hidden="1" x14ac:dyDescent="0.25">
      <c r="C20" s="165"/>
      <c r="D20" s="165"/>
    </row>
    <row r="21" spans="3:4" hidden="1" x14ac:dyDescent="0.25">
      <c r="C21" s="165"/>
      <c r="D21" s="165"/>
    </row>
    <row r="22" spans="3:4" hidden="1" x14ac:dyDescent="0.25">
      <c r="C22" s="165"/>
      <c r="D22" s="165"/>
    </row>
    <row r="23" spans="3:4" hidden="1" x14ac:dyDescent="0.25">
      <c r="C23" s="165"/>
      <c r="D23" s="165"/>
    </row>
    <row r="24" spans="3:4" hidden="1" x14ac:dyDescent="0.25">
      <c r="C24" s="165"/>
      <c r="D24" s="165"/>
    </row>
    <row r="25" spans="3:4" hidden="1" x14ac:dyDescent="0.25">
      <c r="C25" s="165"/>
      <c r="D25" s="165"/>
    </row>
    <row r="26" spans="3:4" hidden="1" x14ac:dyDescent="0.25">
      <c r="C26" s="165"/>
      <c r="D26" s="165"/>
    </row>
    <row r="27" spans="3:4" hidden="1" x14ac:dyDescent="0.25">
      <c r="C27" s="165"/>
      <c r="D27" s="165"/>
    </row>
    <row r="28" spans="3:4" hidden="1" x14ac:dyDescent="0.25">
      <c r="C28" s="165"/>
      <c r="D28" s="165"/>
    </row>
    <row r="29" spans="3:4" hidden="1" x14ac:dyDescent="0.25">
      <c r="C29" s="165"/>
      <c r="D29" s="165"/>
    </row>
    <row r="30" spans="3:4" hidden="1" x14ac:dyDescent="0.25">
      <c r="C30" s="165"/>
      <c r="D30" s="165"/>
    </row>
    <row r="31" spans="3:4" hidden="1" x14ac:dyDescent="0.25">
      <c r="C31" s="165"/>
      <c r="D31" s="165"/>
    </row>
    <row r="32" spans="3:4" hidden="1" x14ac:dyDescent="0.25">
      <c r="C32" s="165"/>
      <c r="D32" s="165"/>
    </row>
    <row r="33" spans="3:4" hidden="1" x14ac:dyDescent="0.25">
      <c r="C33" s="165"/>
      <c r="D33" s="165"/>
    </row>
    <row r="34" spans="3:4" hidden="1" x14ac:dyDescent="0.25">
      <c r="C34" s="165"/>
      <c r="D34" s="165"/>
    </row>
    <row r="35" spans="3:4" hidden="1" x14ac:dyDescent="0.25">
      <c r="C35" s="165"/>
      <c r="D35" s="165"/>
    </row>
    <row r="36" spans="3:4" hidden="1" x14ac:dyDescent="0.25">
      <c r="C36" s="165"/>
      <c r="D36" s="165"/>
    </row>
    <row r="37" spans="3:4" hidden="1" x14ac:dyDescent="0.25">
      <c r="C37" s="165"/>
      <c r="D37" s="165"/>
    </row>
    <row r="38" spans="3:4" hidden="1" x14ac:dyDescent="0.25">
      <c r="C38" s="165"/>
      <c r="D38" s="165"/>
    </row>
    <row r="39" spans="3:4" hidden="1" x14ac:dyDescent="0.25">
      <c r="C39" s="165"/>
      <c r="D39" s="165"/>
    </row>
    <row r="40" spans="3:4" hidden="1" x14ac:dyDescent="0.25">
      <c r="C40" s="165"/>
      <c r="D40" s="165"/>
    </row>
    <row r="41" spans="3:4" hidden="1" x14ac:dyDescent="0.25">
      <c r="C41" s="165"/>
      <c r="D41" s="165"/>
    </row>
    <row r="42" spans="3:4" hidden="1" x14ac:dyDescent="0.25">
      <c r="C42" s="165"/>
      <c r="D42" s="165"/>
    </row>
    <row r="43" spans="3:4" hidden="1" x14ac:dyDescent="0.25">
      <c r="C43" s="165"/>
      <c r="D43" s="165"/>
    </row>
    <row r="44" spans="3:4" hidden="1" x14ac:dyDescent="0.25">
      <c r="C44" s="165"/>
      <c r="D44" s="165"/>
    </row>
    <row r="45" spans="3:4" hidden="1" x14ac:dyDescent="0.25">
      <c r="C45" s="165"/>
      <c r="D45" s="165"/>
    </row>
    <row r="46" spans="3:4" hidden="1" x14ac:dyDescent="0.25">
      <c r="C46" s="165"/>
      <c r="D46" s="165"/>
    </row>
    <row r="47" spans="3:4" hidden="1" x14ac:dyDescent="0.25">
      <c r="C47" s="165"/>
      <c r="D47" s="165"/>
    </row>
    <row r="48" spans="3:4" hidden="1" x14ac:dyDescent="0.25">
      <c r="C48" s="165"/>
      <c r="D48" s="165"/>
    </row>
    <row r="49" spans="3:4" hidden="1" x14ac:dyDescent="0.25">
      <c r="C49" s="165"/>
      <c r="D49" s="165"/>
    </row>
    <row r="50" spans="3:4" hidden="1" x14ac:dyDescent="0.25">
      <c r="C50" s="165"/>
      <c r="D50" s="165"/>
    </row>
    <row r="51" spans="3:4" hidden="1" x14ac:dyDescent="0.25">
      <c r="C51" s="165"/>
      <c r="D51" s="165"/>
    </row>
    <row r="52" spans="3:4" hidden="1" x14ac:dyDescent="0.25">
      <c r="C52" s="165"/>
      <c r="D52" s="165"/>
    </row>
    <row r="53" spans="3:4" hidden="1" x14ac:dyDescent="0.25">
      <c r="C53" s="165"/>
      <c r="D53" s="165"/>
    </row>
    <row r="54" spans="3:4" hidden="1" x14ac:dyDescent="0.25">
      <c r="C54" s="165"/>
      <c r="D54" s="165"/>
    </row>
    <row r="55" spans="3:4" hidden="1" x14ac:dyDescent="0.25">
      <c r="C55" s="165"/>
      <c r="D55" s="165"/>
    </row>
    <row r="56" spans="3:4" hidden="1" x14ac:dyDescent="0.25">
      <c r="C56" s="165"/>
      <c r="D56" s="165"/>
    </row>
    <row r="57" spans="3:4" hidden="1" x14ac:dyDescent="0.25">
      <c r="C57" s="165"/>
      <c r="D57" s="165"/>
    </row>
    <row r="58" spans="3:4" hidden="1" x14ac:dyDescent="0.25">
      <c r="C58" s="165"/>
      <c r="D58" s="165"/>
    </row>
    <row r="59" spans="3:4" hidden="1" x14ac:dyDescent="0.25">
      <c r="C59" s="165"/>
      <c r="D59" s="165"/>
    </row>
    <row r="60" spans="3:4" hidden="1" x14ac:dyDescent="0.25">
      <c r="C60" s="165"/>
      <c r="D60" s="165"/>
    </row>
    <row r="61" spans="3:4" hidden="1" x14ac:dyDescent="0.25">
      <c r="C61" s="165"/>
      <c r="D61" s="165"/>
    </row>
    <row r="62" spans="3:4" hidden="1" x14ac:dyDescent="0.25">
      <c r="C62" s="165"/>
      <c r="D62" s="165"/>
    </row>
    <row r="63" spans="3:4" hidden="1" x14ac:dyDescent="0.25">
      <c r="C63" s="165"/>
      <c r="D63" s="165"/>
    </row>
    <row r="64" spans="3:4" hidden="1" x14ac:dyDescent="0.25">
      <c r="C64" s="165"/>
      <c r="D64" s="165"/>
    </row>
    <row r="65" spans="3:4" hidden="1" x14ac:dyDescent="0.25">
      <c r="C65" s="165"/>
      <c r="D65" s="165"/>
    </row>
    <row r="66" spans="3:4" hidden="1" x14ac:dyDescent="0.25">
      <c r="C66" s="165"/>
      <c r="D66" s="165"/>
    </row>
    <row r="67" spans="3:4" hidden="1" x14ac:dyDescent="0.25">
      <c r="C67" s="165"/>
      <c r="D67" s="165"/>
    </row>
    <row r="68" spans="3:4" hidden="1" x14ac:dyDescent="0.25">
      <c r="C68" s="165"/>
      <c r="D68" s="165"/>
    </row>
    <row r="69" spans="3:4" hidden="1" x14ac:dyDescent="0.25">
      <c r="C69" s="165"/>
      <c r="D69" s="165"/>
    </row>
    <row r="70" spans="3:4" hidden="1" x14ac:dyDescent="0.25">
      <c r="C70" s="165"/>
      <c r="D70" s="165"/>
    </row>
    <row r="71" spans="3:4" hidden="1" x14ac:dyDescent="0.25">
      <c r="C71" s="165"/>
      <c r="D71" s="165"/>
    </row>
    <row r="72" spans="3:4" hidden="1" x14ac:dyDescent="0.25">
      <c r="C72" s="165"/>
      <c r="D72" s="165"/>
    </row>
    <row r="73" spans="3:4" hidden="1" x14ac:dyDescent="0.25">
      <c r="C73" s="165"/>
      <c r="D73" s="165"/>
    </row>
    <row r="74" spans="3:4" hidden="1" x14ac:dyDescent="0.25">
      <c r="C74" s="165"/>
      <c r="D74" s="165"/>
    </row>
    <row r="75" spans="3:4" hidden="1" x14ac:dyDescent="0.25">
      <c r="C75" s="165"/>
      <c r="D75" s="165"/>
    </row>
    <row r="76" spans="3:4" hidden="1" x14ac:dyDescent="0.25">
      <c r="C76" s="165"/>
      <c r="D76" s="165"/>
    </row>
    <row r="77" spans="3:4" hidden="1" x14ac:dyDescent="0.25">
      <c r="C77" s="165"/>
      <c r="D77" s="165"/>
    </row>
    <row r="78" spans="3:4" hidden="1" x14ac:dyDescent="0.25">
      <c r="C78" s="165"/>
      <c r="D78" s="165"/>
    </row>
    <row r="79" spans="3:4" hidden="1" x14ac:dyDescent="0.25">
      <c r="C79" s="165"/>
      <c r="D79" s="165"/>
    </row>
    <row r="80" spans="3:4" hidden="1" x14ac:dyDescent="0.25">
      <c r="C80" s="165"/>
      <c r="D80" s="165"/>
    </row>
    <row r="81" spans="3:4" hidden="1" x14ac:dyDescent="0.25">
      <c r="C81" s="165"/>
      <c r="D81" s="165"/>
    </row>
    <row r="82" spans="3:4" hidden="1" x14ac:dyDescent="0.25">
      <c r="C82" s="165"/>
      <c r="D82" s="165"/>
    </row>
    <row r="83" spans="3:4" hidden="1" x14ac:dyDescent="0.25">
      <c r="C83" s="165"/>
      <c r="D83" s="165"/>
    </row>
    <row r="84" spans="3:4" hidden="1" x14ac:dyDescent="0.25">
      <c r="C84" s="165"/>
      <c r="D84" s="165"/>
    </row>
    <row r="85" spans="3:4" hidden="1" x14ac:dyDescent="0.25">
      <c r="C85" s="165"/>
      <c r="D85" s="165"/>
    </row>
    <row r="86" spans="3:4" hidden="1" x14ac:dyDescent="0.25">
      <c r="C86" s="165"/>
      <c r="D86" s="165"/>
    </row>
    <row r="87" spans="3:4" hidden="1" x14ac:dyDescent="0.25">
      <c r="C87" s="165"/>
      <c r="D87" s="165"/>
    </row>
    <row r="88" spans="3:4" hidden="1" x14ac:dyDescent="0.25">
      <c r="C88" s="165"/>
      <c r="D88" s="165"/>
    </row>
    <row r="89" spans="3:4" hidden="1" x14ac:dyDescent="0.25">
      <c r="C89" s="165"/>
      <c r="D89" s="165"/>
    </row>
    <row r="90" spans="3:4" hidden="1" x14ac:dyDescent="0.25">
      <c r="C90" s="165"/>
      <c r="D90" s="165"/>
    </row>
    <row r="91" spans="3:4" hidden="1" x14ac:dyDescent="0.25">
      <c r="C91" s="165"/>
      <c r="D91" s="165"/>
    </row>
    <row r="92" spans="3:4" hidden="1" x14ac:dyDescent="0.25">
      <c r="C92" s="165"/>
      <c r="D92" s="165"/>
    </row>
    <row r="93" spans="3:4" hidden="1" x14ac:dyDescent="0.25">
      <c r="C93" s="165"/>
      <c r="D93" s="165"/>
    </row>
    <row r="94" spans="3:4" hidden="1" x14ac:dyDescent="0.25">
      <c r="C94" s="165"/>
      <c r="D94" s="165"/>
    </row>
    <row r="95" spans="3:4" hidden="1" x14ac:dyDescent="0.25">
      <c r="C95" s="165"/>
      <c r="D95" s="165"/>
    </row>
    <row r="96" spans="3:4" hidden="1" x14ac:dyDescent="0.25">
      <c r="C96" s="165"/>
      <c r="D96" s="165"/>
    </row>
    <row r="97" spans="3:4" hidden="1" x14ac:dyDescent="0.25">
      <c r="C97" s="165"/>
      <c r="D97" s="165"/>
    </row>
    <row r="98" spans="3:4" hidden="1" x14ac:dyDescent="0.25">
      <c r="C98" s="165"/>
      <c r="D98" s="165"/>
    </row>
    <row r="99" spans="3:4" hidden="1" x14ac:dyDescent="0.25">
      <c r="C99" s="165"/>
      <c r="D99" s="165"/>
    </row>
    <row r="100" spans="3:4" hidden="1" x14ac:dyDescent="0.25">
      <c r="C100" s="165"/>
      <c r="D100" s="165"/>
    </row>
    <row r="101" spans="3:4" hidden="1" x14ac:dyDescent="0.25">
      <c r="C101" s="165"/>
      <c r="D101" s="165"/>
    </row>
    <row r="102" spans="3:4" hidden="1" x14ac:dyDescent="0.25">
      <c r="C102" s="165"/>
      <c r="D102" s="165"/>
    </row>
    <row r="103" spans="3:4" hidden="1" x14ac:dyDescent="0.25">
      <c r="C103" s="165"/>
      <c r="D103" s="165"/>
    </row>
    <row r="104" spans="3:4" hidden="1" x14ac:dyDescent="0.25">
      <c r="C104" s="165"/>
      <c r="D104" s="165"/>
    </row>
    <row r="105" spans="3:4" hidden="1" x14ac:dyDescent="0.25">
      <c r="C105" s="165"/>
      <c r="D105" s="165"/>
    </row>
    <row r="106" spans="3:4" hidden="1" x14ac:dyDescent="0.25">
      <c r="C106" s="165"/>
      <c r="D106" s="165"/>
    </row>
    <row r="107" spans="3:4" hidden="1" x14ac:dyDescent="0.25">
      <c r="C107" s="165"/>
      <c r="D107" s="165"/>
    </row>
    <row r="108" spans="3:4" hidden="1" x14ac:dyDescent="0.25">
      <c r="C108" s="165"/>
      <c r="D108" s="165"/>
    </row>
    <row r="109" spans="3:4" hidden="1" x14ac:dyDescent="0.25">
      <c r="C109" s="165"/>
      <c r="D109" s="165"/>
    </row>
    <row r="110" spans="3:4" hidden="1" x14ac:dyDescent="0.25">
      <c r="C110" s="165"/>
      <c r="D110" s="165"/>
    </row>
    <row r="111" spans="3:4" hidden="1" x14ac:dyDescent="0.25">
      <c r="C111" s="165"/>
      <c r="D111" s="165"/>
    </row>
    <row r="112" spans="3:4" hidden="1" x14ac:dyDescent="0.25">
      <c r="C112" s="165"/>
      <c r="D112" s="165"/>
    </row>
    <row r="113" spans="3:4" hidden="1" x14ac:dyDescent="0.25">
      <c r="C113" s="165"/>
      <c r="D113" s="165"/>
    </row>
    <row r="114" spans="3:4" hidden="1" x14ac:dyDescent="0.25">
      <c r="C114" s="165"/>
      <c r="D114" s="165"/>
    </row>
    <row r="115" spans="3:4" hidden="1" x14ac:dyDescent="0.25">
      <c r="C115" s="165"/>
      <c r="D115" s="165"/>
    </row>
    <row r="116" spans="3:4" hidden="1" x14ac:dyDescent="0.25">
      <c r="C116" s="165"/>
      <c r="D116" s="165"/>
    </row>
    <row r="117" spans="3:4" hidden="1" x14ac:dyDescent="0.25">
      <c r="C117" s="165"/>
      <c r="D117" s="165"/>
    </row>
    <row r="118" spans="3:4" hidden="1" x14ac:dyDescent="0.25">
      <c r="C118" s="165"/>
      <c r="D118" s="165"/>
    </row>
    <row r="119" spans="3:4" hidden="1" x14ac:dyDescent="0.25">
      <c r="C119" s="165"/>
      <c r="D119" s="165"/>
    </row>
    <row r="120" spans="3:4" hidden="1" x14ac:dyDescent="0.25">
      <c r="C120" s="165"/>
      <c r="D120" s="165"/>
    </row>
    <row r="121" spans="3:4" hidden="1" x14ac:dyDescent="0.25">
      <c r="C121" s="165"/>
      <c r="D121" s="165"/>
    </row>
    <row r="122" spans="3:4" hidden="1" x14ac:dyDescent="0.25">
      <c r="C122" s="165"/>
      <c r="D122" s="165"/>
    </row>
    <row r="123" spans="3:4" hidden="1" x14ac:dyDescent="0.25">
      <c r="C123" s="165"/>
      <c r="D123" s="165"/>
    </row>
    <row r="124" spans="3:4" hidden="1" x14ac:dyDescent="0.25">
      <c r="C124" s="165"/>
      <c r="D124" s="165"/>
    </row>
    <row r="125" spans="3:4" hidden="1" x14ac:dyDescent="0.25">
      <c r="C125" s="165"/>
      <c r="D125" s="165"/>
    </row>
    <row r="126" spans="3:4" hidden="1" x14ac:dyDescent="0.25">
      <c r="C126" s="165"/>
      <c r="D126" s="165"/>
    </row>
    <row r="127" spans="3:4" hidden="1" x14ac:dyDescent="0.25">
      <c r="C127" s="165"/>
      <c r="D127" s="165"/>
    </row>
    <row r="128" spans="3:4" hidden="1" x14ac:dyDescent="0.25">
      <c r="C128" s="165"/>
      <c r="D128" s="165"/>
    </row>
    <row r="129" spans="3:4" hidden="1" x14ac:dyDescent="0.25">
      <c r="C129" s="165"/>
      <c r="D129" s="165"/>
    </row>
    <row r="130" spans="3:4" hidden="1" x14ac:dyDescent="0.25">
      <c r="C130" s="165"/>
      <c r="D130" s="165"/>
    </row>
    <row r="131" spans="3:4" hidden="1" x14ac:dyDescent="0.25">
      <c r="C131" s="165"/>
      <c r="D131" s="165"/>
    </row>
    <row r="132" spans="3:4" hidden="1" x14ac:dyDescent="0.25">
      <c r="C132" s="165"/>
      <c r="D132" s="165"/>
    </row>
    <row r="133" spans="3:4" hidden="1" x14ac:dyDescent="0.25">
      <c r="C133" s="165"/>
      <c r="D133" s="165"/>
    </row>
    <row r="134" spans="3:4" hidden="1" x14ac:dyDescent="0.25">
      <c r="C134" s="165"/>
      <c r="D134" s="165"/>
    </row>
    <row r="135" spans="3:4" hidden="1" x14ac:dyDescent="0.25">
      <c r="C135" s="165"/>
      <c r="D135" s="165"/>
    </row>
    <row r="136" spans="3:4" hidden="1" x14ac:dyDescent="0.25">
      <c r="C136" s="165"/>
      <c r="D136" s="165"/>
    </row>
    <row r="137" spans="3:4" hidden="1" x14ac:dyDescent="0.25">
      <c r="C137" s="165"/>
      <c r="D137" s="165"/>
    </row>
    <row r="138" spans="3:4" hidden="1" x14ac:dyDescent="0.25">
      <c r="C138" s="165"/>
      <c r="D138" s="165"/>
    </row>
    <row r="139" spans="3:4" hidden="1" x14ac:dyDescent="0.25">
      <c r="C139" s="165"/>
      <c r="D139" s="165"/>
    </row>
    <row r="140" spans="3:4" hidden="1" x14ac:dyDescent="0.25">
      <c r="C140" s="165"/>
      <c r="D140" s="165"/>
    </row>
    <row r="141" spans="3:4" hidden="1" x14ac:dyDescent="0.25">
      <c r="C141" s="165"/>
      <c r="D141" s="165"/>
    </row>
    <row r="142" spans="3:4" hidden="1" x14ac:dyDescent="0.25">
      <c r="C142" s="165"/>
      <c r="D142" s="165"/>
    </row>
    <row r="143" spans="3:4" hidden="1" x14ac:dyDescent="0.25">
      <c r="C143" s="165"/>
      <c r="D143" s="165"/>
    </row>
    <row r="144" spans="3:4" hidden="1" x14ac:dyDescent="0.25">
      <c r="C144" s="165"/>
      <c r="D144" s="165"/>
    </row>
    <row r="145" spans="3:4" hidden="1" x14ac:dyDescent="0.25">
      <c r="C145" s="165"/>
      <c r="D145" s="165"/>
    </row>
    <row r="146" spans="3:4" hidden="1" x14ac:dyDescent="0.25">
      <c r="C146" s="165"/>
      <c r="D146" s="165"/>
    </row>
    <row r="147" spans="3:4" hidden="1" x14ac:dyDescent="0.25">
      <c r="C147" s="165"/>
      <c r="D147" s="165"/>
    </row>
    <row r="148" spans="3:4" hidden="1" x14ac:dyDescent="0.25">
      <c r="C148" s="165"/>
      <c r="D148" s="165"/>
    </row>
    <row r="149" spans="3:4" hidden="1" x14ac:dyDescent="0.25">
      <c r="C149" s="165"/>
      <c r="D149" s="165"/>
    </row>
    <row r="150" spans="3:4" hidden="1" x14ac:dyDescent="0.25">
      <c r="C150" s="165"/>
      <c r="D150" s="165"/>
    </row>
    <row r="151" spans="3:4" hidden="1" x14ac:dyDescent="0.25">
      <c r="C151" s="165"/>
      <c r="D151" s="165"/>
    </row>
    <row r="152" spans="3:4" hidden="1" x14ac:dyDescent="0.25">
      <c r="C152" s="165"/>
      <c r="D152" s="165"/>
    </row>
    <row r="153" spans="3:4" hidden="1" x14ac:dyDescent="0.25">
      <c r="C153" s="165"/>
      <c r="D153" s="165"/>
    </row>
    <row r="154" spans="3:4" hidden="1" x14ac:dyDescent="0.25">
      <c r="C154" s="165"/>
      <c r="D154" s="165"/>
    </row>
    <row r="155" spans="3:4" hidden="1" x14ac:dyDescent="0.25">
      <c r="C155" s="165"/>
      <c r="D155" s="165"/>
    </row>
    <row r="156" spans="3:4" hidden="1" x14ac:dyDescent="0.25">
      <c r="C156" s="165"/>
      <c r="D156" s="165"/>
    </row>
    <row r="157" spans="3:4" hidden="1" x14ac:dyDescent="0.25">
      <c r="C157" s="165"/>
      <c r="D157" s="165"/>
    </row>
    <row r="158" spans="3:4" hidden="1" x14ac:dyDescent="0.25">
      <c r="C158" s="165"/>
      <c r="D158" s="165"/>
    </row>
    <row r="159" spans="3:4" hidden="1" x14ac:dyDescent="0.25">
      <c r="C159" s="165"/>
      <c r="D159" s="165"/>
    </row>
    <row r="160" spans="3:4" hidden="1" x14ac:dyDescent="0.25">
      <c r="C160" s="165"/>
      <c r="D160" s="165"/>
    </row>
    <row r="161" spans="3:4" hidden="1" x14ac:dyDescent="0.25">
      <c r="C161" s="165"/>
      <c r="D161" s="165"/>
    </row>
    <row r="162" spans="3:4" hidden="1" x14ac:dyDescent="0.25">
      <c r="C162" s="165"/>
      <c r="D162" s="165"/>
    </row>
    <row r="163" spans="3:4" hidden="1" x14ac:dyDescent="0.25">
      <c r="C163" s="165"/>
      <c r="D163" s="165"/>
    </row>
    <row r="164" spans="3:4" hidden="1" x14ac:dyDescent="0.25">
      <c r="C164" s="165"/>
      <c r="D164" s="165"/>
    </row>
    <row r="165" spans="3:4" hidden="1" x14ac:dyDescent="0.25">
      <c r="C165" s="165"/>
      <c r="D165" s="165"/>
    </row>
    <row r="166" spans="3:4" hidden="1" x14ac:dyDescent="0.25">
      <c r="C166" s="165"/>
      <c r="D166" s="165"/>
    </row>
    <row r="167" spans="3:4" hidden="1" x14ac:dyDescent="0.25">
      <c r="C167" s="165"/>
      <c r="D167" s="165"/>
    </row>
    <row r="168" spans="3:4" hidden="1" x14ac:dyDescent="0.25">
      <c r="C168" s="165"/>
      <c r="D168" s="165"/>
    </row>
    <row r="169" spans="3:4" hidden="1" x14ac:dyDescent="0.25">
      <c r="C169" s="165"/>
      <c r="D169" s="165"/>
    </row>
    <row r="170" spans="3:4" hidden="1" x14ac:dyDescent="0.25">
      <c r="C170" s="165"/>
      <c r="D170" s="165"/>
    </row>
    <row r="171" spans="3:4" hidden="1" x14ac:dyDescent="0.25">
      <c r="C171" s="165"/>
      <c r="D171" s="165"/>
    </row>
    <row r="172" spans="3:4" hidden="1" x14ac:dyDescent="0.25">
      <c r="C172" s="165"/>
      <c r="D172" s="165"/>
    </row>
    <row r="173" spans="3:4" hidden="1" x14ac:dyDescent="0.25">
      <c r="C173" s="165"/>
      <c r="D173" s="165"/>
    </row>
    <row r="174" spans="3:4" hidden="1" x14ac:dyDescent="0.25">
      <c r="C174" s="165"/>
      <c r="D174" s="165"/>
    </row>
    <row r="175" spans="3:4" hidden="1" x14ac:dyDescent="0.25">
      <c r="C175" s="165"/>
      <c r="D175" s="165"/>
    </row>
    <row r="176" spans="3:4" hidden="1" x14ac:dyDescent="0.25">
      <c r="C176" s="165"/>
      <c r="D176" s="165"/>
    </row>
    <row r="177" spans="3:4" hidden="1" x14ac:dyDescent="0.25">
      <c r="C177" s="165"/>
      <c r="D177" s="165"/>
    </row>
    <row r="178" spans="3:4" hidden="1" x14ac:dyDescent="0.25">
      <c r="C178" s="165"/>
      <c r="D178" s="165"/>
    </row>
    <row r="179" spans="3:4" hidden="1" x14ac:dyDescent="0.25">
      <c r="C179" s="165"/>
      <c r="D179" s="165"/>
    </row>
    <row r="180" spans="3:4" hidden="1" x14ac:dyDescent="0.25">
      <c r="C180" s="165"/>
      <c r="D180" s="165"/>
    </row>
    <row r="181" spans="3:4" hidden="1" x14ac:dyDescent="0.25">
      <c r="C181" s="165"/>
      <c r="D181" s="165"/>
    </row>
    <row r="182" spans="3:4" hidden="1" x14ac:dyDescent="0.25">
      <c r="C182" s="165"/>
      <c r="D182" s="165"/>
    </row>
    <row r="183" spans="3:4" hidden="1" x14ac:dyDescent="0.25">
      <c r="C183" s="165"/>
      <c r="D183" s="165"/>
    </row>
    <row r="184" spans="3:4" hidden="1" x14ac:dyDescent="0.25">
      <c r="C184" s="165"/>
      <c r="D184" s="165"/>
    </row>
    <row r="185" spans="3:4" hidden="1" x14ac:dyDescent="0.25">
      <c r="C185" s="165"/>
      <c r="D185" s="165"/>
    </row>
    <row r="186" spans="3:4" hidden="1" x14ac:dyDescent="0.25">
      <c r="C186" s="165"/>
      <c r="D186" s="165"/>
    </row>
    <row r="187" spans="3:4" hidden="1" x14ac:dyDescent="0.25">
      <c r="C187" s="165"/>
      <c r="D187" s="165"/>
    </row>
    <row r="188" spans="3:4" hidden="1" x14ac:dyDescent="0.25">
      <c r="C188" s="165"/>
      <c r="D188" s="165"/>
    </row>
    <row r="189" spans="3:4" hidden="1" x14ac:dyDescent="0.25">
      <c r="C189" s="165"/>
      <c r="D189" s="165"/>
    </row>
    <row r="190" spans="3:4" hidden="1" x14ac:dyDescent="0.25">
      <c r="C190" s="165"/>
      <c r="D190" s="165"/>
    </row>
    <row r="191" spans="3:4" hidden="1" x14ac:dyDescent="0.25">
      <c r="C191" s="165"/>
      <c r="D191" s="165"/>
    </row>
    <row r="192" spans="3:4" hidden="1" x14ac:dyDescent="0.25">
      <c r="C192" s="165"/>
      <c r="D192" s="165"/>
    </row>
    <row r="193" spans="3:4" hidden="1" x14ac:dyDescent="0.25">
      <c r="C193" s="165"/>
      <c r="D193" s="165"/>
    </row>
    <row r="194" spans="3:4" hidden="1" x14ac:dyDescent="0.25">
      <c r="C194" s="165"/>
      <c r="D194" s="165"/>
    </row>
    <row r="195" spans="3:4" hidden="1" x14ac:dyDescent="0.25">
      <c r="C195" s="165"/>
      <c r="D195" s="165"/>
    </row>
    <row r="196" spans="3:4" hidden="1" x14ac:dyDescent="0.25">
      <c r="C196" s="165"/>
      <c r="D196" s="165"/>
    </row>
    <row r="197" spans="3:4" hidden="1" x14ac:dyDescent="0.25">
      <c r="C197" s="165"/>
      <c r="D197" s="165"/>
    </row>
    <row r="198" spans="3:4" hidden="1" x14ac:dyDescent="0.25">
      <c r="C198" s="165"/>
      <c r="D198" s="165"/>
    </row>
    <row r="199" spans="3:4" hidden="1" x14ac:dyDescent="0.25">
      <c r="C199" s="165"/>
      <c r="D199" s="165"/>
    </row>
    <row r="200" spans="3:4" hidden="1" x14ac:dyDescent="0.25">
      <c r="C200" s="165"/>
      <c r="D200" s="165"/>
    </row>
    <row r="201" spans="3:4" hidden="1" x14ac:dyDescent="0.25">
      <c r="C201" s="165"/>
      <c r="D201" s="165"/>
    </row>
  </sheetData>
  <mergeCells count="1">
    <mergeCell ref="C3:C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9DF44-9CFB-4AC9-B496-492CF3A81DF8}">
  <dimension ref="A1"/>
  <sheetViews>
    <sheetView workbookViewId="0">
      <selection activeCell="D4" sqref="D4"/>
    </sheetView>
  </sheetViews>
  <sheetFormatPr defaultRowHeight="15" x14ac:dyDescent="0.25"/>
  <sheetData>
    <row r="1" spans="1:1" x14ac:dyDescent="0.25">
      <c r="A1" t="s">
        <v>208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97F043A104ABB4E8334FA84EBAFCBC4" ma:contentTypeVersion="15" ma:contentTypeDescription="Opret et nyt dokument." ma:contentTypeScope="" ma:versionID="41a87f5b27a7c96ba457f8952ab5120e">
  <xsd:schema xmlns:xsd="http://www.w3.org/2001/XMLSchema" xmlns:xs="http://www.w3.org/2001/XMLSchema" xmlns:p="http://schemas.microsoft.com/office/2006/metadata/properties" xmlns:ns2="ef068075-deec-4e4e-902e-26879bb3d50d" xmlns:ns3="bc4462f2-f5f6-441f-9428-b4e715934a3f" targetNamespace="http://schemas.microsoft.com/office/2006/metadata/properties" ma:root="true" ma:fieldsID="bfaafd8b52085b87817e13524a469d9d" ns2:_="" ns3:_="">
    <xsd:import namespace="ef068075-deec-4e4e-902e-26879bb3d50d"/>
    <xsd:import namespace="bc4462f2-f5f6-441f-9428-b4e715934a3f"/>
    <xsd:element name="properties">
      <xsd:complexType>
        <xsd:sequence>
          <xsd:element name="documentManagement">
            <xsd:complexType>
              <xsd:all>
                <xsd:element ref="ns2:MediaServiceMetadata" minOccurs="0"/>
                <xsd:element ref="ns2:MediaServiceFastMetadata" minOccurs="0"/>
                <xsd:element ref="ns2:eDoc"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068075-deec-4e4e-902e-26879bb3d5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eDoc" ma:index="10" nillable="true" ma:displayName="eDoc" ma:internalName="eDoc">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Billedmærker" ma:readOnly="false" ma:fieldId="{5cf76f15-5ced-4ddc-b409-7134ff3c332f}" ma:taxonomyMulti="true" ma:sspId="e6a412d2-aea5-45d9-add9-4615ec186553"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4462f2-f5f6-441f-9428-b4e715934a3f" elementFormDefault="qualified">
    <xsd:import namespace="http://schemas.microsoft.com/office/2006/documentManagement/types"/>
    <xsd:import namespace="http://schemas.microsoft.com/office/infopath/2007/PartnerControls"/>
    <xsd:element name="SharedWithUsers" ma:index="11"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t med detaljer" ma:internalName="SharedWithDetails" ma:readOnly="true">
      <xsd:simpleType>
        <xsd:restriction base="dms:Note">
          <xsd:maxLength value="255"/>
        </xsd:restriction>
      </xsd:simpleType>
    </xsd:element>
    <xsd:element name="TaxCatchAll" ma:index="20" nillable="true" ma:displayName="Taxonomy Catch All Column" ma:hidden="true" ma:list="{ca6a5149-f32e-4cfb-afb1-90bc2d28df78}" ma:internalName="TaxCatchAll" ma:showField="CatchAllData" ma:web="bc4462f2-f5f6-441f-9428-b4e715934a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Doc xmlns="ef068075-deec-4e4e-902e-26879bb3d50d" xsi:nil="true"/>
    <lcf76f155ced4ddcb4097134ff3c332f xmlns="ef068075-deec-4e4e-902e-26879bb3d50d">
      <Terms xmlns="http://schemas.microsoft.com/office/infopath/2007/PartnerControls"/>
    </lcf76f155ced4ddcb4097134ff3c332f>
    <TaxCatchAll xmlns="bc4462f2-f5f6-441f-9428-b4e715934a3f" xsi:nil="true"/>
    <SharedWithUsers xmlns="bc4462f2-f5f6-441f-9428-b4e715934a3f">
      <UserInfo>
        <DisplayName>Agnethe Mønsted Overgaard</DisplayName>
        <AccountId>33</AccountId>
        <AccountType/>
      </UserInfo>
      <UserInfo>
        <DisplayName>René Nygaard Handest</DisplayName>
        <AccountId>17</AccountId>
        <AccountType/>
      </UserInfo>
      <UserInfo>
        <DisplayName>Trine Reese Ptak</DisplayName>
        <AccountId>24</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39B4B7-2BFF-4299-A451-4C3C9C0958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068075-deec-4e4e-902e-26879bb3d50d"/>
    <ds:schemaRef ds:uri="bc4462f2-f5f6-441f-9428-b4e715934a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4F182C-BA22-4216-ADD2-4C4428090F7E}">
  <ds:schemaRefs>
    <ds:schemaRef ds:uri="http://www.w3.org/XML/1998/namespace"/>
    <ds:schemaRef ds:uri="http://purl.org/dc/elements/1.1/"/>
    <ds:schemaRef ds:uri="http://schemas.microsoft.com/office/infopath/2007/PartnerControls"/>
    <ds:schemaRef ds:uri="http://schemas.microsoft.com/office/2006/documentManagement/types"/>
    <ds:schemaRef ds:uri="bc4462f2-f5f6-441f-9428-b4e715934a3f"/>
    <ds:schemaRef ds:uri="http://purl.org/dc/dcmitype/"/>
    <ds:schemaRef ds:uri="http://purl.org/dc/terms/"/>
    <ds:schemaRef ds:uri="http://schemas.openxmlformats.org/package/2006/metadata/core-properties"/>
    <ds:schemaRef ds:uri="ef068075-deec-4e4e-902e-26879bb3d50d"/>
    <ds:schemaRef ds:uri="http://schemas.microsoft.com/office/2006/metadata/properties"/>
  </ds:schemaRefs>
</ds:datastoreItem>
</file>

<file path=customXml/itemProps3.xml><?xml version="1.0" encoding="utf-8"?>
<ds:datastoreItem xmlns:ds="http://schemas.openxmlformats.org/officeDocument/2006/customXml" ds:itemID="{1BBF727A-83DD-491D-ABA8-4356E16696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BarselsfondenTilskud</vt:lpstr>
      <vt:lpstr>Dagpengesatser</vt:lpstr>
      <vt:lpstr>Info</vt:lpstr>
      <vt:lpstr>ToDO og spm</vt:lpstr>
    </vt:vector>
  </TitlesOfParts>
  <Manager/>
  <Company>Københavns Kommune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A19H</dc:creator>
  <cp:keywords/>
  <dc:description/>
  <cp:lastModifiedBy>Markus Esbjørn Sloth</cp:lastModifiedBy>
  <cp:revision/>
  <dcterms:created xsi:type="dcterms:W3CDTF">2013-02-07T15:49:02Z</dcterms:created>
  <dcterms:modified xsi:type="dcterms:W3CDTF">2025-02-11T11:24:31Z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0x010100997F043A104ABB4E8334FA84EBAFCBC4</vt:lpwstr>
  </property>
  <property fmtid="{D5CDD505-2E9C-101B-9397-08002B2CF9AE}" pid="3" name="Order">
    <vt:r8>100</vt:r8>
  </property>
  <property fmtid="{D5CDD505-2E9C-101B-9397-08002B2CF9AE}" pid="4" name="Sensitivity">
    <vt:lpwstr/>
  </property>
  <property fmtid="{D5CDD505-2E9C-101B-9397-08002B2CF9AE}" pid="5" name="AuthorIds_UIVersion_2560">
    <vt:lpwstr>159</vt:lpwstr>
  </property>
  <property fmtid="{D5CDD505-2E9C-101B-9397-08002B2CF9AE}" pid="6" name="xd_Signature">
    <vt:bool>false</vt:bool>
  </property>
  <property fmtid="{D5CDD505-2E9C-101B-9397-08002B2CF9AE}" pid="7" name="xd_ProgID">
    <vt:lpwstr/>
  </property>
  <property fmtid="{D5CDD505-2E9C-101B-9397-08002B2CF9AE}" pid="8" name="MigrationPath">
    <vt:lpwstr>\\kk-dfs.kk.dk\ks$\KsData\Leverancecenter Økonomi\Team Dagpenge og refusion\Barselsfonden\Selvejende\Beregninger\2018\000 - Anmodningsskema 2018.xlsx</vt:lpwstr>
  </property>
  <property fmtid="{D5CDD505-2E9C-101B-9397-08002B2CF9AE}" pid="9" name="MigrationDirectoryID">
    <vt:lpwstr>4C6D0549BEF7623A68545BFD842AAF8440E31477</vt:lpwstr>
  </property>
  <property fmtid="{D5CDD505-2E9C-101B-9397-08002B2CF9AE}" pid="10" name="TemplateUrl">
    <vt:lpwstr/>
  </property>
  <property fmtid="{D5CDD505-2E9C-101B-9397-08002B2CF9AE}" pid="11" name="ComplianceAssetId">
    <vt:lpwstr/>
  </property>
  <property fmtid="{D5CDD505-2E9C-101B-9397-08002B2CF9AE}" pid="12" name="Fortrolighed">
    <vt:lpwstr/>
  </property>
  <property fmtid="{D5CDD505-2E9C-101B-9397-08002B2CF9AE}" pid="13" name="TaxCatchAll">
    <vt:lpwstr/>
  </property>
  <property fmtid="{D5CDD505-2E9C-101B-9397-08002B2CF9AE}" pid="14" name="j2c2601e249f4d2993f2fcc4fe83f7c1">
    <vt:lpwstr/>
  </property>
  <property fmtid="{D5CDD505-2E9C-101B-9397-08002B2CF9AE}" pid="15" name="_ExtendedDescription">
    <vt:lpwstr/>
  </property>
  <property fmtid="{D5CDD505-2E9C-101B-9397-08002B2CF9AE}" pid="16" name="MediaServiceImageTags">
    <vt:lpwstr/>
  </property>
  <property fmtid="{D5CDD505-2E9C-101B-9397-08002B2CF9AE}" pid="17" name="Links">
    <vt:lpwstr>, </vt:lpwstr>
  </property>
  <property fmtid="{D5CDD505-2E9C-101B-9397-08002B2CF9AE}" pid="18" name="TriggerFlowInfo">
    <vt:lpwstr/>
  </property>
</Properties>
</file>