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Denne_projektmappe" defaultThemeVersion="124226"/>
  <mc:AlternateContent xmlns:mc="http://schemas.openxmlformats.org/markup-compatibility/2006">
    <mc:Choice Requires="x15">
      <x15ac:absPath xmlns:x15ac="http://schemas.microsoft.com/office/spreadsheetml/2010/11/ac" url="https://kksky.sharepoint.com/sites/TilskudfraBarselsfonden/Delte dokumenter/Skema til selvejende institutioner/Versionstyring/Version_2.1/"/>
    </mc:Choice>
  </mc:AlternateContent>
  <xr:revisionPtr revIDLastSave="504" documentId="13_ncr:1_{68648A75-8272-4032-9001-349BC12F3869}" xr6:coauthVersionLast="47" xr6:coauthVersionMax="47" xr10:uidLastSave="{1ECA1BAC-B55F-4011-ADDC-27D2167C4AE6}"/>
  <bookViews>
    <workbookView xWindow="-120" yWindow="-120" windowWidth="29040" windowHeight="15720" xr2:uid="{00000000-000D-0000-FFFF-FFFF00000000}"/>
  </bookViews>
  <sheets>
    <sheet name="BarselsfondenTilskud" sheetId="1" r:id="rId1"/>
    <sheet name="Dagpengesatser" sheetId="5" state="hidden" r:id="rId2"/>
    <sheet name="Info" sheetId="7" r:id="rId3"/>
  </sheets>
  <externalReferences>
    <externalReference r:id="rId4"/>
  </externalReferences>
  <definedNames>
    <definedName name="AB158AB158">BarselsfondenTilskud!$O$164</definedName>
    <definedName name="AntalHverdageSlut">BarselsfondenTilskud!$D$110</definedName>
    <definedName name="AntalHverdageStart">BarselsfondenTilskud!$B$110</definedName>
    <definedName name="Dagpengeprmaaned">BarselsfondenTilskud!$L$3</definedName>
    <definedName name="Dagpengetimesats">BarselsfondenTilskud!$L$2</definedName>
    <definedName name="DiffMellemMetoderne">BarselsfondenTilskud!$R$176</definedName>
    <definedName name="FaktiskFoedsel">BarselsfondenTilskud!$E$30</definedName>
    <definedName name="fireugerfoer">BarselsfondenTilskud!$E$78</definedName>
    <definedName name="Forventetfoedsel">BarselsfondenTilskud!$G$30</definedName>
    <definedName name="FuldtidsFraevaer">BarselsfondenTilskud!$G$51</definedName>
    <definedName name="GammelMetode">BarselsfondenTilskud!$R$174</definedName>
    <definedName name="GammelMetodeResultatDagpenge">BarselsfondenTilskud!$R$174</definedName>
    <definedName name="Hverdage_den_pågældene_måned">BarselsfondenTilskud!$AJ$159</definedName>
    <definedName name="LoennenAendret">BarselsfondenTilskud!$F$49</definedName>
    <definedName name="LønMedPension">BarselsfondenTilskud!$F$46</definedName>
    <definedName name="NyMetodeResultat">BarselsfondenTilskud!$R$171</definedName>
    <definedName name="OtteUgerfoer">BarselsfondenTilskud!$G$78</definedName>
    <definedName name="SlutBarsel">BarselsfondenTilskud!$G$31</definedName>
    <definedName name="Start">'[1]Uge for Uge beregner'!$D$21</definedName>
    <definedName name="StartBarsel">BarselsfondenTilskud!$E$31</definedName>
    <definedName name="TimeNorm">BarselsfondenTilskud!$D$40</definedName>
    <definedName name="TotalDagpengeGammelMetode">BarselsfondenTilskud!$O$171</definedName>
    <definedName name="TotalDagpengePerTime">BarselsfondenTilskud!$R$171</definedName>
    <definedName name="TotalGGPerDag">BarselsfondenTilskud!$K$171</definedName>
    <definedName name="TotalNSG">BarselsfondenTilskud!$E$170</definedName>
    <definedName name="AateUgerfoer">BarselsfondenTilskud!$G$78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0" i="1" l="1"/>
  <c r="C12" i="5"/>
  <c r="B134" i="1"/>
  <c r="L3" i="1"/>
  <c r="L64" i="1"/>
  <c r="E158" i="1"/>
  <c r="F262" i="1"/>
  <c r="B270" i="1"/>
  <c r="D81" i="1"/>
  <c r="A81" i="1" s="1"/>
  <c r="D82" i="1"/>
  <c r="A82" i="1" s="1"/>
  <c r="D83" i="1"/>
  <c r="A83" i="1" s="1"/>
  <c r="D84" i="1"/>
  <c r="A84" i="1" s="1"/>
  <c r="D85" i="1"/>
  <c r="A85" i="1" s="1"/>
  <c r="D86" i="1"/>
  <c r="A86" i="1" s="1"/>
  <c r="D87" i="1"/>
  <c r="A87" i="1" s="1"/>
  <c r="D88" i="1"/>
  <c r="A88" i="1" s="1"/>
  <c r="D89" i="1"/>
  <c r="A89" i="1" s="1"/>
  <c r="D90" i="1"/>
  <c r="A90" i="1" s="1"/>
  <c r="D91" i="1"/>
  <c r="A91" i="1" s="1"/>
  <c r="D80" i="1"/>
  <c r="A80" i="1" s="1"/>
  <c r="F258" i="1" l="1"/>
  <c r="E258" i="1"/>
  <c r="E257" i="1"/>
  <c r="F263" i="1"/>
  <c r="K17" i="1"/>
  <c r="L17" i="1" s="1"/>
  <c r="B277" i="1"/>
  <c r="B278" i="1" l="1"/>
  <c r="B272" i="1"/>
  <c r="B267" i="1"/>
  <c r="B268" i="1"/>
  <c r="B269" i="1"/>
  <c r="B273" i="1"/>
  <c r="B274" i="1"/>
  <c r="B275" i="1"/>
  <c r="B276" i="1"/>
  <c r="F261" i="1"/>
  <c r="A34" i="1"/>
  <c r="F100" i="1" l="1"/>
  <c r="G8" i="1"/>
  <c r="L2" i="1" s="1"/>
  <c r="G100" i="1" l="1"/>
  <c r="E115" i="1" l="1"/>
  <c r="D115" i="1"/>
  <c r="F102" i="1"/>
  <c r="F80" i="1"/>
  <c r="E78" i="1"/>
  <c r="B135" i="1" s="1"/>
  <c r="B140" i="1" l="1"/>
  <c r="A35" i="1"/>
  <c r="L59" i="1"/>
  <c r="L60" i="1"/>
  <c r="L61" i="1"/>
  <c r="L58" i="1"/>
  <c r="K59" i="1"/>
  <c r="K60" i="1"/>
  <c r="K61" i="1"/>
  <c r="K57" i="1"/>
  <c r="K58" i="1"/>
  <c r="L57" i="1"/>
  <c r="N60" i="1" l="1" a="1"/>
  <c r="N60" i="1" s="1"/>
  <c r="N61" i="1" a="1"/>
  <c r="N61" i="1" s="1"/>
  <c r="O57" i="1" a="1"/>
  <c r="O57" i="1" s="1"/>
  <c r="N59" i="1" a="1"/>
  <c r="N59" i="1" s="1"/>
  <c r="N58" i="1" a="1"/>
  <c r="N58" i="1" s="1"/>
  <c r="N57" i="1" a="1"/>
  <c r="N57" i="1" s="1"/>
  <c r="S57" i="1" a="1"/>
  <c r="S57" i="1" s="1"/>
  <c r="K64" i="1"/>
  <c r="K65" i="1"/>
  <c r="L65" i="1"/>
  <c r="A75" i="1"/>
  <c r="A41" i="1"/>
  <c r="G78" i="1"/>
  <c r="K46" i="1"/>
  <c r="A47" i="1" s="1"/>
  <c r="M40" i="1"/>
  <c r="K73" i="1"/>
  <c r="L31" i="1"/>
  <c r="K69" i="1" s="1"/>
  <c r="B101" i="1" s="1"/>
  <c r="M31" i="1"/>
  <c r="E159" i="1"/>
  <c r="E161" i="1"/>
  <c r="E162" i="1"/>
  <c r="E163" i="1"/>
  <c r="E164" i="1"/>
  <c r="E165" i="1"/>
  <c r="E166" i="1"/>
  <c r="E167" i="1"/>
  <c r="E168" i="1"/>
  <c r="E169" i="1"/>
  <c r="B170" i="1"/>
  <c r="F81" i="1"/>
  <c r="F83" i="1"/>
  <c r="F82" i="1"/>
  <c r="F84" i="1"/>
  <c r="F85" i="1"/>
  <c r="F86" i="1"/>
  <c r="F87" i="1"/>
  <c r="F88" i="1"/>
  <c r="F89" i="1"/>
  <c r="F90" i="1"/>
  <c r="F91" i="1"/>
  <c r="K43" i="1"/>
  <c r="A44" i="1" s="1"/>
  <c r="K49" i="1"/>
  <c r="A50" i="1" s="1"/>
  <c r="K52" i="1"/>
  <c r="A53" i="1" s="1"/>
  <c r="B130" i="1" l="1"/>
  <c r="S159" i="1" s="1"/>
  <c r="B136" i="1"/>
  <c r="A195" i="1" a="1"/>
  <c r="A195" i="1" s="1"/>
  <c r="D101" i="1"/>
  <c r="F259" i="1" s="1"/>
  <c r="D99" i="1"/>
  <c r="B146" i="1"/>
  <c r="B144" i="1" s="1"/>
  <c r="T57" i="1" a="1"/>
  <c r="T57" i="1" s="1"/>
  <c r="U57" i="1" s="1"/>
  <c r="N62" i="1"/>
  <c r="A69" i="1"/>
  <c r="F92" i="1"/>
  <c r="B131" i="1"/>
  <c r="C146" i="1"/>
  <c r="D100" i="1"/>
  <c r="C145" i="1"/>
  <c r="C144" i="1"/>
  <c r="X159" i="1" l="1"/>
  <c r="J159" i="1"/>
  <c r="S160" i="1"/>
  <c r="X160" i="1" s="1"/>
  <c r="D103" i="1"/>
  <c r="D109" i="1" s="1"/>
  <c r="B147" i="1"/>
  <c r="B102" i="1"/>
  <c r="B99" i="1" s="1"/>
  <c r="D149" i="1"/>
  <c r="C147" i="1"/>
  <c r="C153" i="1" s="1"/>
  <c r="B145" i="1"/>
  <c r="B153" i="1" s="1"/>
  <c r="A158" i="1"/>
  <c r="A180" i="1"/>
  <c r="G180" i="1"/>
  <c r="AG159" i="1" s="1"/>
  <c r="V159" i="1"/>
  <c r="AH159" i="1"/>
  <c r="D110" i="1" l="1"/>
  <c r="E259" i="1"/>
  <c r="F260" i="1" s="1"/>
  <c r="D150" i="1"/>
  <c r="B152" i="1" s="1"/>
  <c r="U159" i="1" s="1"/>
  <c r="W159" i="1" s="1"/>
  <c r="C152" i="1"/>
  <c r="AI159" i="1"/>
  <c r="AJ159" i="1" s="1"/>
  <c r="J160" i="1"/>
  <c r="A159" i="1"/>
  <c r="S161" i="1"/>
  <c r="A181" i="1"/>
  <c r="U160" i="1"/>
  <c r="W160" i="1" s="1"/>
  <c r="V160" i="1"/>
  <c r="G181" i="1"/>
  <c r="AH160" i="1"/>
  <c r="D105" i="1" l="1"/>
  <c r="AB159" i="1"/>
  <c r="AD159" i="1"/>
  <c r="AI160" i="1"/>
  <c r="AJ160" i="1" s="1"/>
  <c r="J161" i="1"/>
  <c r="AG160" i="1"/>
  <c r="X161" i="1"/>
  <c r="A160" i="1"/>
  <c r="U161" i="1"/>
  <c r="W161" i="1" s="1"/>
  <c r="V161" i="1"/>
  <c r="AH161" i="1"/>
  <c r="S162" i="1"/>
  <c r="A182" i="1"/>
  <c r="G182" i="1"/>
  <c r="AG161" i="1" s="1"/>
  <c r="S163" i="1" l="1"/>
  <c r="AI161" i="1"/>
  <c r="J162" i="1"/>
  <c r="E160" i="1"/>
  <c r="X162" i="1"/>
  <c r="A161" i="1"/>
  <c r="A183" i="1"/>
  <c r="AB162" i="1"/>
  <c r="G183" i="1"/>
  <c r="AG162" i="1" s="1"/>
  <c r="AD162" i="1"/>
  <c r="U162" i="1"/>
  <c r="V162" i="1"/>
  <c r="AH162" i="1"/>
  <c r="B100" i="1"/>
  <c r="B110" i="1" s="1"/>
  <c r="P159" i="1" s="1" a="1"/>
  <c r="P159" i="1" s="1"/>
  <c r="AJ161" i="1" l="1"/>
  <c r="E111" i="1"/>
  <c r="J163" i="1"/>
  <c r="E170" i="1"/>
  <c r="AI162" i="1"/>
  <c r="AJ162" i="1" s="1"/>
  <c r="P162" i="1" s="1" a="1"/>
  <c r="P162" i="1" s="1"/>
  <c r="X163" i="1"/>
  <c r="A162" i="1"/>
  <c r="W162" i="1"/>
  <c r="S164" i="1"/>
  <c r="A184" i="1"/>
  <c r="AB163" i="1"/>
  <c r="U163" i="1"/>
  <c r="V163" i="1"/>
  <c r="AH163" i="1"/>
  <c r="G184" i="1"/>
  <c r="AD163" i="1"/>
  <c r="AD160" i="1"/>
  <c r="AB160" i="1"/>
  <c r="AD161" i="1"/>
  <c r="AB161" i="1"/>
  <c r="B103" i="1"/>
  <c r="P161" i="1" l="1" a="1"/>
  <c r="P161" i="1" s="1"/>
  <c r="P160" i="1" a="1"/>
  <c r="P160" i="1" s="1"/>
  <c r="E110" i="1"/>
  <c r="D106" i="1"/>
  <c r="B109" i="1" s="1"/>
  <c r="AC160" i="1" s="1"/>
  <c r="N160" i="1" s="1"/>
  <c r="AI163" i="1"/>
  <c r="AJ163" i="1" s="1"/>
  <c r="P163" i="1" s="1" a="1"/>
  <c r="P163" i="1" s="1"/>
  <c r="AC163" i="1"/>
  <c r="AE163" i="1" s="1"/>
  <c r="K163" i="1" s="1" a="1"/>
  <c r="K163" i="1" s="1"/>
  <c r="J164" i="1"/>
  <c r="Z159" i="1"/>
  <c r="Z162" i="1"/>
  <c r="AG163" i="1"/>
  <c r="X164" i="1"/>
  <c r="A163" i="1"/>
  <c r="W163" i="1"/>
  <c r="Z161" i="1"/>
  <c r="Z160" i="1"/>
  <c r="U164" i="1"/>
  <c r="W164" i="1" s="1"/>
  <c r="V164" i="1"/>
  <c r="AH164" i="1"/>
  <c r="S165" i="1"/>
  <c r="A185" i="1"/>
  <c r="AB164" i="1"/>
  <c r="G185" i="1"/>
  <c r="AG164" i="1" s="1"/>
  <c r="AD164" i="1"/>
  <c r="J165" i="1" l="1"/>
  <c r="AC164" i="1"/>
  <c r="N164" i="1" s="1"/>
  <c r="Q163" i="1"/>
  <c r="R163" i="1" s="1"/>
  <c r="L163" i="1"/>
  <c r="AC159" i="1"/>
  <c r="AC162" i="1"/>
  <c r="AC161" i="1"/>
  <c r="N161" i="1" s="1"/>
  <c r="M163" i="1"/>
  <c r="AI164" i="1"/>
  <c r="N163" i="1"/>
  <c r="Z163" i="1"/>
  <c r="AF163" i="1"/>
  <c r="Y163" i="1" s="1"/>
  <c r="X165" i="1"/>
  <c r="A164" i="1"/>
  <c r="A186" i="1"/>
  <c r="AB165" i="1"/>
  <c r="AC165" i="1" s="1"/>
  <c r="G186" i="1"/>
  <c r="AG165" i="1" s="1"/>
  <c r="AD165" i="1"/>
  <c r="U165" i="1"/>
  <c r="W165" i="1" s="1"/>
  <c r="S166" i="1"/>
  <c r="AH165" i="1"/>
  <c r="V165" i="1"/>
  <c r="AE160" i="1"/>
  <c r="K160" i="1" l="1" a="1"/>
  <c r="K160" i="1" s="1"/>
  <c r="L160" i="1"/>
  <c r="AE164" i="1"/>
  <c r="K164" i="1" s="1" a="1"/>
  <c r="K164" i="1" s="1"/>
  <c r="Q160" i="1"/>
  <c r="AE159" i="1"/>
  <c r="N159" i="1"/>
  <c r="N162" i="1"/>
  <c r="AE162" i="1"/>
  <c r="K162" i="1" s="1" a="1"/>
  <c r="K162" i="1" s="1"/>
  <c r="AE161" i="1"/>
  <c r="K161" i="1" s="1" a="1"/>
  <c r="K161" i="1" s="1"/>
  <c r="M164" i="1"/>
  <c r="AJ164" i="1"/>
  <c r="P164" i="1" s="1" a="1"/>
  <c r="P164" i="1" s="1"/>
  <c r="AI165" i="1"/>
  <c r="AJ165" i="1" s="1"/>
  <c r="Z165" i="1" s="1"/>
  <c r="T163" i="1"/>
  <c r="M160" i="1"/>
  <c r="J166" i="1"/>
  <c r="N165" i="1"/>
  <c r="AF160" i="1"/>
  <c r="O163" i="1"/>
  <c r="AA163" i="1"/>
  <c r="AE165" i="1"/>
  <c r="X166" i="1"/>
  <c r="A165" i="1"/>
  <c r="S167" i="1"/>
  <c r="A187" i="1"/>
  <c r="AB166" i="1"/>
  <c r="AC166" i="1" s="1"/>
  <c r="U166" i="1"/>
  <c r="W166" i="1" s="1"/>
  <c r="V166" i="1"/>
  <c r="AD166" i="1"/>
  <c r="AH166" i="1"/>
  <c r="G187" i="1"/>
  <c r="AG166" i="1" s="1"/>
  <c r="K159" i="1" l="1" a="1"/>
  <c r="K159" i="1" s="1"/>
  <c r="L159" i="1"/>
  <c r="P165" i="1" a="1"/>
  <c r="P165" i="1" s="1"/>
  <c r="Q165" i="1" s="1"/>
  <c r="R165" i="1" s="1"/>
  <c r="M165" i="1"/>
  <c r="K165" i="1" a="1"/>
  <c r="K165" i="1" s="1"/>
  <c r="Q159" i="1"/>
  <c r="R159" i="1" s="1"/>
  <c r="M159" i="1"/>
  <c r="J167" i="1"/>
  <c r="R160" i="1"/>
  <c r="Q161" i="1"/>
  <c r="R161" i="1" s="1"/>
  <c r="AF164" i="1"/>
  <c r="AA164" i="1" s="1"/>
  <c r="L164" i="1"/>
  <c r="L165" i="1"/>
  <c r="AF159" i="1"/>
  <c r="T160" i="1"/>
  <c r="Y160" i="1"/>
  <c r="AF162" i="1"/>
  <c r="L162" i="1"/>
  <c r="Q162" i="1"/>
  <c r="R162" i="1" s="1"/>
  <c r="M162" i="1"/>
  <c r="AF161" i="1"/>
  <c r="T161" i="1" s="1"/>
  <c r="L161" i="1"/>
  <c r="M161" i="1"/>
  <c r="Z164" i="1"/>
  <c r="Q164" i="1"/>
  <c r="R164" i="1" s="1"/>
  <c r="E184" i="1"/>
  <c r="AK163" i="1" s="1"/>
  <c r="N166" i="1"/>
  <c r="O160" i="1"/>
  <c r="AA160" i="1"/>
  <c r="AF165" i="1"/>
  <c r="AI166" i="1"/>
  <c r="AJ166" i="1" s="1"/>
  <c r="Z166" i="1" s="1"/>
  <c r="AE166" i="1"/>
  <c r="X167" i="1"/>
  <c r="A166" i="1"/>
  <c r="U167" i="1"/>
  <c r="V167" i="1"/>
  <c r="AH167" i="1"/>
  <c r="S168" i="1"/>
  <c r="A188" i="1"/>
  <c r="AB167" i="1"/>
  <c r="AC167" i="1" s="1"/>
  <c r="G188" i="1"/>
  <c r="AG167" i="1" s="1"/>
  <c r="AD167" i="1"/>
  <c r="O164" i="1" l="1"/>
  <c r="O159" i="1"/>
  <c r="P166" i="1" a="1"/>
  <c r="P166" i="1" s="1"/>
  <c r="O165" i="1"/>
  <c r="T164" i="1"/>
  <c r="Y164" i="1"/>
  <c r="M166" i="1"/>
  <c r="K166" i="1" a="1"/>
  <c r="K166" i="1" s="1"/>
  <c r="J168" i="1"/>
  <c r="E181" i="1"/>
  <c r="AK160" i="1" s="1"/>
  <c r="Y159" i="1"/>
  <c r="T159" i="1"/>
  <c r="L166" i="1"/>
  <c r="AA159" i="1"/>
  <c r="O162" i="1"/>
  <c r="Y161" i="1"/>
  <c r="AA161" i="1"/>
  <c r="T162" i="1"/>
  <c r="AA162" i="1"/>
  <c r="Y162" i="1"/>
  <c r="O161" i="1"/>
  <c r="Q166" i="1"/>
  <c r="R166" i="1" s="1"/>
  <c r="AI167" i="1"/>
  <c r="AJ167" i="1" s="1"/>
  <c r="P167" i="1" s="1" a="1"/>
  <c r="P167" i="1" s="1"/>
  <c r="AA165" i="1"/>
  <c r="T165" i="1"/>
  <c r="N167" i="1"/>
  <c r="Y165" i="1"/>
  <c r="AE167" i="1"/>
  <c r="K167" i="1" s="1" a="1"/>
  <c r="K167" i="1" s="1"/>
  <c r="AF166" i="1"/>
  <c r="T166" i="1" s="1"/>
  <c r="X168" i="1"/>
  <c r="A167" i="1"/>
  <c r="W167" i="1"/>
  <c r="A189" i="1"/>
  <c r="AB168" i="1"/>
  <c r="AC168" i="1" s="1"/>
  <c r="N168" i="1" s="1"/>
  <c r="G189" i="1"/>
  <c r="AG168" i="1" s="1"/>
  <c r="AD168" i="1"/>
  <c r="U168" i="1"/>
  <c r="S169" i="1"/>
  <c r="V168" i="1"/>
  <c r="AH168" i="1"/>
  <c r="O166" i="1" l="1"/>
  <c r="E185" i="1"/>
  <c r="AK164" i="1" s="1"/>
  <c r="P168" i="1" a="1"/>
  <c r="P168" i="1" s="1"/>
  <c r="L167" i="1"/>
  <c r="E180" i="1"/>
  <c r="AK159" i="1" s="1"/>
  <c r="E182" i="1"/>
  <c r="AK161" i="1" s="1"/>
  <c r="E183" i="1"/>
  <c r="AK162" i="1" s="1"/>
  <c r="Z167" i="1"/>
  <c r="Q167" i="1"/>
  <c r="R167" i="1" s="1"/>
  <c r="E186" i="1"/>
  <c r="AK165" i="1" s="1"/>
  <c r="AF167" i="1"/>
  <c r="Y167" i="1" s="1"/>
  <c r="M167" i="1"/>
  <c r="J169" i="1"/>
  <c r="AE168" i="1"/>
  <c r="K168" i="1" s="1" a="1"/>
  <c r="K168" i="1" s="1"/>
  <c r="AI168" i="1"/>
  <c r="AJ168" i="1" s="1"/>
  <c r="Y166" i="1"/>
  <c r="AA166" i="1"/>
  <c r="X169" i="1"/>
  <c r="L169" i="1" s="1"/>
  <c r="A168" i="1"/>
  <c r="W168" i="1"/>
  <c r="S170" i="1"/>
  <c r="A190" i="1"/>
  <c r="AB169" i="1"/>
  <c r="AC169" i="1" s="1"/>
  <c r="U169" i="1"/>
  <c r="W169" i="1" s="1"/>
  <c r="V169" i="1"/>
  <c r="G190" i="1"/>
  <c r="AH169" i="1"/>
  <c r="AD169" i="1"/>
  <c r="P169" i="1" l="1" a="1"/>
  <c r="P169" i="1" s="1"/>
  <c r="T167" i="1"/>
  <c r="L168" i="1"/>
  <c r="O167" i="1"/>
  <c r="N169" i="1"/>
  <c r="M168" i="1"/>
  <c r="Q168" i="1"/>
  <c r="AA167" i="1"/>
  <c r="AI169" i="1"/>
  <c r="AJ169" i="1" s="1"/>
  <c r="Z169" i="1" s="1"/>
  <c r="J170" i="1"/>
  <c r="AF168" i="1"/>
  <c r="AA168" i="1" s="1"/>
  <c r="E187" i="1"/>
  <c r="Z168" i="1"/>
  <c r="AE169" i="1"/>
  <c r="K169" i="1" s="1" a="1"/>
  <c r="K169" i="1" s="1"/>
  <c r="AG169" i="1"/>
  <c r="X170" i="1"/>
  <c r="A169" i="1"/>
  <c r="U170" i="1"/>
  <c r="S171" i="1"/>
  <c r="V170" i="1"/>
  <c r="AH170" i="1"/>
  <c r="A191" i="1"/>
  <c r="AB170" i="1"/>
  <c r="AC170" i="1" s="1"/>
  <c r="N170" i="1" s="1"/>
  <c r="G191" i="1"/>
  <c r="AG170" i="1" s="1"/>
  <c r="AD170" i="1"/>
  <c r="P170" i="1" l="1" a="1"/>
  <c r="P170" i="1" s="1"/>
  <c r="R168" i="1"/>
  <c r="E188" i="1"/>
  <c r="AK167" i="1" s="1"/>
  <c r="O168" i="1"/>
  <c r="Q169" i="1"/>
  <c r="R169" i="1" s="1"/>
  <c r="M169" i="1"/>
  <c r="O169" i="1" s="1"/>
  <c r="X171" i="1"/>
  <c r="L170" i="1"/>
  <c r="L171" i="1" s="1"/>
  <c r="AK166" i="1"/>
  <c r="T168" i="1"/>
  <c r="Y168" i="1"/>
  <c r="N171" i="1"/>
  <c r="AF169" i="1"/>
  <c r="AE170" i="1"/>
  <c r="K170" i="1" s="1" a="1"/>
  <c r="K170" i="1" s="1"/>
  <c r="K171" i="1" s="1"/>
  <c r="AI170" i="1"/>
  <c r="AJ170" i="1" s="1"/>
  <c r="W170" i="1"/>
  <c r="M170" i="1" l="1"/>
  <c r="M171" i="1" s="1"/>
  <c r="Q170" i="1"/>
  <c r="Q171" i="1" s="1"/>
  <c r="A196" i="1"/>
  <c r="E189" i="1"/>
  <c r="Y169" i="1"/>
  <c r="T169" i="1"/>
  <c r="Z170" i="1"/>
  <c r="AA169" i="1"/>
  <c r="AF170" i="1"/>
  <c r="R170" i="1" l="1"/>
  <c r="R171" i="1" s="1"/>
  <c r="E190" i="1"/>
  <c r="AK169" i="1" s="1"/>
  <c r="AK168" i="1"/>
  <c r="O170" i="1"/>
  <c r="O171" i="1" s="1"/>
  <c r="R174" i="1" s="1"/>
  <c r="Y170" i="1"/>
  <c r="Y171" i="1" s="1"/>
  <c r="T170" i="1"/>
  <c r="AA170" i="1"/>
  <c r="AA171" i="1" s="1"/>
  <c r="R176" i="1" l="1"/>
  <c r="E191" i="1"/>
  <c r="E192" i="1" s="1"/>
  <c r="AK170" i="1" l="1"/>
  <c r="AK171" i="1" s="1"/>
  <c r="A202" i="1" s="1"/>
  <c r="D201" i="1" s="1"/>
  <c r="A201" i="1" l="1"/>
  <c r="F20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Markus Esbjørn Sloth</author>
  </authors>
  <commentList>
    <comment ref="L3" authorId="0" shapeId="0" xr:uid="{64A9BDF1-515C-4ABF-816E-5024AA0B1CCD}">
      <text>
        <r>
          <rPr>
            <b/>
            <sz val="9"/>
            <color indexed="81"/>
            <rFont val="Tahoma"/>
            <family val="2"/>
          </rPr>
          <t>Markus Esbjørn Sloth:</t>
        </r>
        <r>
          <rPr>
            <sz val="9"/>
            <color indexed="81"/>
            <rFont val="Tahoma"/>
            <family val="2"/>
          </rPr>
          <t xml:space="preserve">
bliver ikke brugt til andet end at teste for fejl
</t>
        </r>
      </text>
    </comment>
    <comment ref="D28" authorId="0" shapeId="0" xr:uid="{E67EE8EA-A445-4345-B057-9E44753251F8}">
      <text>
        <r>
          <rPr>
            <sz val="9"/>
            <color indexed="81"/>
            <rFont val="Tahoma"/>
            <charset val="1"/>
          </rPr>
          <t xml:space="preserve">Her modtager i refusionen
</t>
        </r>
      </text>
    </comment>
    <comment ref="E30" authorId="0" shapeId="0" xr:uid="{D068D715-049C-4853-A026-EEDCC16AD09A}">
      <text>
        <r>
          <rPr>
            <b/>
            <sz val="9"/>
            <color indexed="81"/>
            <rFont val="Tahoma"/>
            <charset val="1"/>
          </rPr>
          <t xml:space="preserve">xx-xx-xxxx
</t>
        </r>
      </text>
    </comment>
    <comment ref="E31" authorId="0" shapeId="0" xr:uid="{8421F226-1BDE-4FF4-BAFB-9067A7FEE3BF}">
      <text>
        <r>
          <rPr>
            <sz val="9"/>
            <color indexed="81"/>
            <rFont val="Tahoma"/>
            <charset val="1"/>
          </rPr>
          <t xml:space="preserve">xx-xx-xxxx
</t>
        </r>
      </text>
    </comment>
    <comment ref="G31" authorId="0" shapeId="0" xr:uid="{9EC91FDE-C7E7-4E30-898E-C7D451218980}">
      <text>
        <r>
          <rPr>
            <sz val="9"/>
            <color indexed="81"/>
            <rFont val="Tahoma"/>
            <charset val="1"/>
          </rPr>
          <t>xx-xx-xxxx</t>
        </r>
      </text>
    </comment>
    <comment ref="D40" authorId="0" shapeId="0" xr:uid="{8F71ABEE-01D6-41DE-B440-B3D81A755511}">
      <text>
        <r>
          <rPr>
            <sz val="9"/>
            <color indexed="81"/>
            <rFont val="Tahoma"/>
            <family val="2"/>
          </rPr>
          <t>37 timer svarer til fuldtid.</t>
        </r>
      </text>
    </comment>
    <comment ref="M40" authorId="0" shapeId="0" xr:uid="{D22D1090-B0F0-48CD-8246-52DD4414E744}">
      <text>
        <r>
          <rPr>
            <b/>
            <sz val="9"/>
            <color indexed="81"/>
            <rFont val="Tahoma"/>
            <family val="2"/>
          </rPr>
          <t>Markus Esbjørn Sloth:</t>
        </r>
        <r>
          <rPr>
            <sz val="9"/>
            <color indexed="81"/>
            <rFont val="Tahoma"/>
            <family val="2"/>
          </rPr>
          <t xml:space="preserve">
37timer=1 
15 timer = 0,4
Der refunderes for maks 37 timer
</t>
        </r>
      </text>
    </comment>
    <comment ref="E78" authorId="0" shapeId="0" xr:uid="{0EA752B4-23A0-4C42-B720-6D3DE23B1F14}">
      <text>
        <r>
          <rPr>
            <b/>
            <sz val="9"/>
            <color indexed="81"/>
            <rFont val="Tahoma"/>
            <family val="2"/>
          </rPr>
          <t>Markus Esbjørn Sloth:</t>
        </r>
        <r>
          <rPr>
            <sz val="9"/>
            <color indexed="81"/>
            <rFont val="Tahoma"/>
            <family val="2"/>
          </rPr>
          <t xml:space="preserve">
Første dag med dagpenge, medmindre der er undtagelser 
</t>
        </r>
      </text>
    </comment>
    <comment ref="G78" authorId="0" shapeId="0" xr:uid="{6C15BAC0-0050-4711-BA8D-57894C1B2D92}">
      <text>
        <r>
          <rPr>
            <b/>
            <sz val="9"/>
            <color indexed="81"/>
            <rFont val="Tahoma"/>
            <family val="2"/>
          </rPr>
          <t>Markus Esbjørn Sloth:</t>
        </r>
        <r>
          <rPr>
            <sz val="9"/>
            <color indexed="81"/>
            <rFont val="Tahoma"/>
            <family val="2"/>
          </rPr>
          <t xml:space="preserve">
De første fire uger af de 8 ugers orlov før forventet fødsel, er enheden ikke berettiget til barselsdagpenge. Hele lønudgiften dækkes af tilskud fra Barselsfonden. </t>
        </r>
      </text>
    </comment>
    <comment ref="B102" authorId="0" shapeId="0" xr:uid="{9A6844F6-6698-4655-9801-A56207154D90}">
      <text>
        <r>
          <rPr>
            <b/>
            <sz val="9"/>
            <color indexed="81"/>
            <rFont val="Tahoma"/>
            <family val="2"/>
          </rPr>
          <t>Markus Esbjørn Sloth:</t>
        </r>
        <r>
          <rPr>
            <sz val="9"/>
            <color indexed="81"/>
            <rFont val="Tahoma"/>
            <family val="2"/>
          </rPr>
          <t xml:space="preserve">
dette tal bruges grundet hvordan tabellen er strukturet. Blev ændret i version 1.1
Første linje er blot for at skabe en fejl
Hvis medarbejderen bliver beregtigt til barselsdagpenge før første dag i nuværende år bruges første dag i den ansøgte periode for barselsdagpenge. </t>
        </r>
      </text>
    </comment>
    <comment ref="B109" authorId="0" shapeId="0" xr:uid="{B5E7A117-3B6C-4CEA-B8F1-43B644AAF5FE}">
      <text>
        <r>
          <rPr>
            <b/>
            <sz val="9"/>
            <color indexed="81"/>
            <rFont val="Tahoma"/>
            <family val="2"/>
          </rPr>
          <t>Markus Esbjørn Sloth:</t>
        </r>
        <r>
          <rPr>
            <sz val="9"/>
            <color indexed="81"/>
            <rFont val="Tahoma"/>
            <family val="2"/>
          </rPr>
          <t xml:space="preserve">
om det skal beregnes per dag eller per måned</t>
        </r>
      </text>
    </comment>
    <comment ref="B110" authorId="0" shapeId="0" xr:uid="{A21058A6-4A21-4AD4-A700-F3055CB7A3F9}">
      <text>
        <r>
          <rPr>
            <b/>
            <sz val="9"/>
            <color indexed="81"/>
            <rFont val="Tahoma"/>
            <family val="2"/>
          </rPr>
          <t>Markus Esbjørn Sloth:</t>
        </r>
        <r>
          <rPr>
            <sz val="9"/>
            <color indexed="81"/>
            <rFont val="Tahoma"/>
            <family val="2"/>
          </rPr>
          <t xml:space="preserve">
antal hverdage
</t>
        </r>
      </text>
    </comment>
    <comment ref="M158" authorId="0" shapeId="0" xr:uid="{FCDF000F-D8F3-4DA2-926F-95680BF5406B}">
      <text>
        <r>
          <rPr>
            <b/>
            <sz val="9"/>
            <color indexed="81"/>
            <rFont val="Tahoma"/>
            <family val="2"/>
          </rPr>
          <t>Markus Esbjørn Sloth:</t>
        </r>
        <r>
          <rPr>
            <sz val="9"/>
            <color indexed="81"/>
            <rFont val="Tahoma"/>
            <family val="2"/>
          </rPr>
          <t xml:space="preserve">
Bemærk at noget af det fratrækkes
</t>
        </r>
      </text>
    </comment>
    <comment ref="S158" authorId="0" shapeId="0" xr:uid="{6BEDFE7D-33C4-4E82-8139-6638FA5A102E}">
      <text>
        <r>
          <rPr>
            <b/>
            <sz val="9"/>
            <color indexed="81"/>
            <rFont val="Tahoma"/>
            <family val="2"/>
          </rPr>
          <t>Markus Esbjørn Sloth:</t>
        </r>
        <r>
          <rPr>
            <sz val="9"/>
            <color indexed="81"/>
            <rFont val="Tahoma"/>
            <family val="2"/>
          </rPr>
          <t xml:space="preserve">
Kolonnen bruges til at definere, hvilke måneder der er aktuelle i forhold til både barselsdagpenge, graviditetsgener samt nedsatte graviditetsgener.
</t>
        </r>
      </text>
    </comment>
    <comment ref="V158" authorId="0" shapeId="0" xr:uid="{AA9435BC-A2C8-440C-840A-106210E8DD42}">
      <text>
        <r>
          <rPr>
            <b/>
            <sz val="9"/>
            <color indexed="81"/>
            <rFont val="Tahoma"/>
            <family val="2"/>
          </rPr>
          <t>Markus Esbjørn Sloth:</t>
        </r>
        <r>
          <rPr>
            <sz val="9"/>
            <color indexed="81"/>
            <rFont val="Tahoma"/>
            <family val="2"/>
          </rPr>
          <t xml:space="preserve">
Ret til kompensation via barselsfonden og/eller barselsdagpenge for den alm del af
 barselsperioden. GG og NSK er ikke medtaget her </t>
        </r>
      </text>
    </comment>
    <comment ref="X158" authorId="0" shapeId="0" xr:uid="{09E099E9-486D-4CD6-91FD-B83565EBB475}">
      <text>
        <r>
          <rPr>
            <b/>
            <sz val="9"/>
            <color indexed="81"/>
            <rFont val="Tahoma"/>
            <family val="2"/>
          </rPr>
          <t>Markus Esbjørn Sloth:</t>
        </r>
        <r>
          <rPr>
            <sz val="9"/>
            <color indexed="81"/>
            <rFont val="Tahoma"/>
            <family val="2"/>
          </rPr>
          <t xml:space="preserve">
Den her tæller antal dage for de måneder du har i perioden 
</t>
        </r>
      </text>
    </comment>
    <comment ref="L159" authorId="0" shapeId="0" xr:uid="{1CAF430A-1566-4A17-8B75-056119F0FEFE}">
      <text>
        <r>
          <rPr>
            <b/>
            <sz val="9"/>
            <color indexed="81"/>
            <rFont val="Tahoma"/>
            <charset val="1"/>
          </rPr>
          <t>Markus Esbjørn Sloth:</t>
        </r>
        <r>
          <rPr>
            <sz val="9"/>
            <color indexed="81"/>
            <rFont val="Tahoma"/>
            <charset val="1"/>
          </rPr>
          <t xml:space="preserve">
Beskrivelse 
Hvis fulde GG dage ikke er Tom eller 0 så skal det være tomt 
ellers 
Hvis antal GG dage er lig med antal hverdag i den pågældende måned så lønbrøk dagpenge månedssatsen 
ellers 
dagsnormen * Dagpengetimesatsen * antal GG dage </t>
        </r>
      </text>
    </comment>
    <comment ref="O159" authorId="0" shapeId="0" xr:uid="{E398CDDF-00B6-4687-9F95-61B61651144E}">
      <text>
        <r>
          <rPr>
            <b/>
            <sz val="9"/>
            <color indexed="81"/>
            <rFont val="Tahoma"/>
            <family val="2"/>
          </rPr>
          <t>Markus Esbjørn Sloth:</t>
        </r>
        <r>
          <rPr>
            <sz val="9"/>
            <color indexed="81"/>
            <rFont val="Tahoma"/>
            <family val="2"/>
          </rPr>
          <t xml:space="preserve">
Den første IF er for et særtilfælde hvor to skæve perioder giver en hel periode
</t>
        </r>
      </text>
    </comment>
    <comment ref="Q159" authorId="0" shapeId="0" xr:uid="{4B1E20BB-D15D-454C-8DB0-AB120ADA020A}">
      <text>
        <r>
          <rPr>
            <b/>
            <sz val="9"/>
            <color indexed="81"/>
            <rFont val="Tahoma"/>
            <charset val="1"/>
          </rPr>
          <t>Markus Esbjørn Sloth:</t>
        </r>
        <r>
          <rPr>
            <sz val="9"/>
            <color indexed="81"/>
            <rFont val="Tahoma"/>
            <charset val="1"/>
          </rPr>
          <t xml:space="preserve">
Hvis Dagsnormen ikke er tom så gang dagsnormen med antal hverdage
</t>
        </r>
      </text>
    </comment>
    <comment ref="R159" authorId="0" shapeId="0" xr:uid="{0BFFE995-1E78-4AAF-BBC7-A98FB8B3C4AD}">
      <text>
        <r>
          <rPr>
            <b/>
            <sz val="9"/>
            <color indexed="81"/>
            <rFont val="Tahoma"/>
            <charset val="1"/>
          </rPr>
          <t>Markus Esbjørn Sloth:</t>
        </r>
        <r>
          <rPr>
            <sz val="9"/>
            <color indexed="81"/>
            <rFont val="Tahoma"/>
            <charset val="1"/>
          </rPr>
          <t xml:space="preserve">
Hvis timer ikke er tom så gang timer med dagpengetimesatsen </t>
        </r>
      </text>
    </comment>
    <comment ref="AB159" authorId="0" shapeId="0" xr:uid="{EAE44BB0-5846-443E-9AE7-A16BB7DA1ACD}">
      <text>
        <r>
          <rPr>
            <b/>
            <sz val="9"/>
            <color indexed="81"/>
            <rFont val="Tahoma"/>
            <family val="2"/>
          </rPr>
          <t>Markus Esbjørn Sloth:</t>
        </r>
        <r>
          <rPr>
            <sz val="9"/>
            <color indexed="81"/>
            <rFont val="Tahoma"/>
            <family val="2"/>
          </rPr>
          <t xml:space="preserve">
Den her kollonne definere om medarbejderen har ret til at barselsdagpenge i måneden 
</t>
        </r>
      </text>
    </comment>
    <comment ref="B179" authorId="0" shapeId="0" xr:uid="{B096E5DE-E38B-4283-B8F9-89C25459E224}">
      <text>
        <r>
          <rPr>
            <sz val="9"/>
            <color indexed="81"/>
            <rFont val="Tahoma"/>
            <family val="2"/>
          </rPr>
          <t xml:space="preserve">Ændringer i din månedsløn. Ændringer fremgår i månedslønnen
</t>
        </r>
      </text>
    </comment>
    <comment ref="E179" authorId="0" shapeId="0" xr:uid="{0E265A38-70F6-403F-B1F9-A4820D6FECD7}">
      <text>
        <r>
          <rPr>
            <sz val="9"/>
            <color indexed="81"/>
            <rFont val="Tahoma"/>
            <family val="2"/>
          </rPr>
          <t xml:space="preserve">Den del af lønnen, som man kan få refunderet, tager højde for en lang række faktorer såsom GG, NSG, om det er en skæv måned, samt om den barslende arbejder over 37 timer.
</t>
        </r>
      </text>
    </comment>
    <comment ref="G179" authorId="0" shapeId="0" xr:uid="{E0D96A2D-74CC-4B13-AA9F-E3058DCC215F}">
      <text>
        <r>
          <rPr>
            <b/>
            <sz val="9"/>
            <color indexed="81"/>
            <rFont val="Tahoma"/>
            <family val="2"/>
          </rPr>
          <t xml:space="preserve">Den faktiske månedsløn. Hvis du arbejder over 37 timer, bliver der taget højde for dette. 
Kode: Medmindre der er angivet ændringer, tager koden udgangspunkt i månedslønnen.
 </t>
        </r>
      </text>
    </comment>
    <comment ref="E180" authorId="0" shapeId="0" xr:uid="{D7802FF1-4D61-45EA-A232-F5BD5DB7804B}">
      <text>
        <r>
          <rPr>
            <sz val="9"/>
            <color indexed="81"/>
            <rFont val="Tahoma"/>
            <family val="2"/>
          </rPr>
          <t xml:space="preserve">Teknisk 
refunderbar løn fra basel+ NSG + GG
</t>
        </r>
      </text>
    </comment>
    <comment ref="A259" authorId="0" shapeId="0" xr:uid="{C2279BF0-261C-4316-9E6D-E8DC8A32699A}">
      <text>
        <r>
          <rPr>
            <b/>
            <sz val="9"/>
            <color indexed="81"/>
            <rFont val="Tahoma"/>
            <family val="2"/>
          </rPr>
          <t xml:space="preserve">Bruges til sagsbehandling i økonomisystemet. Kan være anderledes end den oplyste barselsperiode.
</t>
        </r>
        <r>
          <rPr>
            <sz val="9"/>
            <color indexed="81"/>
            <rFont val="Tahoma"/>
            <family val="2"/>
          </rPr>
          <t xml:space="preserve">
</t>
        </r>
      </text>
    </comment>
    <comment ref="F259" authorId="0" shapeId="0" xr:uid="{A065F586-477A-4A4D-A4EF-39A5C7F3C871}">
      <text>
        <r>
          <rPr>
            <b/>
            <sz val="9"/>
            <color indexed="81"/>
            <rFont val="Tahoma"/>
            <charset val="1"/>
          </rPr>
          <t>Markus Esbjørn Sloth:</t>
        </r>
        <r>
          <rPr>
            <sz val="9"/>
            <color indexed="81"/>
            <rFont val="Tahoma"/>
            <charset val="1"/>
          </rPr>
          <t xml:space="preserve">
</t>
        </r>
      </text>
    </comment>
    <comment ref="B270" authorId="0" shapeId="0" xr:uid="{8670C718-5BD2-4F33-B63C-ABF3E26FFEAB}">
      <text>
        <r>
          <rPr>
            <b/>
            <sz val="9"/>
            <color indexed="81"/>
            <rFont val="Tahoma"/>
            <family val="2"/>
          </rPr>
          <t xml:space="preserve">Terminsdato fastsat ved ultralyd 
</t>
        </r>
      </text>
    </comment>
    <comment ref="B272" authorId="0" shapeId="0" xr:uid="{729BAB19-03C9-4EAF-B2BB-F73279CD9B78}">
      <text>
        <r>
          <rPr>
            <b/>
            <sz val="9"/>
            <color indexed="81"/>
            <rFont val="Tahoma"/>
            <family val="2"/>
          </rPr>
          <t xml:space="preserve">Moderen med fuld løn
</t>
        </r>
      </text>
    </comment>
    <comment ref="B273" authorId="0" shapeId="0" xr:uid="{A62FCB70-207A-4DF4-9AE5-EF870E311FD5}">
      <text>
        <r>
          <rPr>
            <sz val="9"/>
            <color indexed="81"/>
            <rFont val="Tahoma"/>
            <family val="2"/>
          </rPr>
          <t>Moderen med fuld løn hvis hun kun tager egne 6 uger</t>
        </r>
      </text>
    </comment>
    <comment ref="B274" authorId="0" shapeId="0" xr:uid="{41866F4E-A37E-4D49-BD54-9764A541BB7D}">
      <text>
        <r>
          <rPr>
            <sz val="9"/>
            <color indexed="81"/>
            <rFont val="Tahoma"/>
            <family val="2"/>
          </rPr>
          <t xml:space="preserve">Moderen med fuld løn hvis hun tager egne + de 6 fælles uger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Markus Esbjørn Sloth</author>
  </authors>
  <commentList>
    <comment ref="C12" authorId="0" shapeId="0" xr:uid="{0A4342AE-1BF8-4F90-9C69-B409C56E39B8}">
      <text>
        <r>
          <rPr>
            <b/>
            <sz val="9"/>
            <color indexed="81"/>
            <rFont val="Tahoma"/>
            <charset val="1"/>
          </rPr>
          <t>Markus Esbjørn Sloth:</t>
        </r>
        <r>
          <rPr>
            <sz val="9"/>
            <color indexed="81"/>
            <rFont val="Tahoma"/>
            <charset val="1"/>
          </rPr>
          <t xml:space="preserve">
bruges kun til test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<sst xmlns="http://schemas.openxmlformats.org/spreadsheetml/2006/main" count="243" uniqueCount="213">
  <si>
    <t xml:space="preserve">Udfyld alle grå felter i kronologisk rækkefølge </t>
  </si>
  <si>
    <t>Dagpengetimesats</t>
  </si>
  <si>
    <t>Brug en nulstillet skabelon for at undgå at oplysninger fra en anden barslende kommer med</t>
  </si>
  <si>
    <t>Dagpenge pr.måned</t>
  </si>
  <si>
    <t>Ansøgning om tilskud fra Barselsfonden</t>
  </si>
  <si>
    <t xml:space="preserve">Tekst </t>
  </si>
  <si>
    <t>neutral information (#CBE9FC)'</t>
  </si>
  <si>
    <t>Kritisk information</t>
  </si>
  <si>
    <t>Fejl rød (#BB0202)</t>
  </si>
  <si>
    <t>År</t>
  </si>
  <si>
    <t>Dagpengesats</t>
  </si>
  <si>
    <t>Bruges som baggrundsfarve (#F6F6F8)</t>
  </si>
  <si>
    <t>indtastnings felter (#ABABAB)</t>
  </si>
  <si>
    <t>Til egen brug</t>
  </si>
  <si>
    <t>Indberetters oplysninger:</t>
  </si>
  <si>
    <t>Navn</t>
  </si>
  <si>
    <t>Telefon</t>
  </si>
  <si>
    <t xml:space="preserve">Valide datoer </t>
  </si>
  <si>
    <t>Email</t>
  </si>
  <si>
    <t xml:space="preserve">Mulige fejl:  1.Arket virker kun for indberetninger for ét år ad gangen 2.Datoer skal skrives i formattet xx-xx-xxxx. Kontakt eventuelt Koncernservice for hjælp.
</t>
  </si>
  <si>
    <t xml:space="preserve">Første dag </t>
  </si>
  <si>
    <t xml:space="preserve">Sidste dag </t>
  </si>
  <si>
    <t>Institutions oplysninger:</t>
  </si>
  <si>
    <t>Inst. Navn</t>
  </si>
  <si>
    <t>Inst. CVR.nr.</t>
  </si>
  <si>
    <t>Oplysninger om den barslende:</t>
  </si>
  <si>
    <t xml:space="preserve">Forælder (barslende): </t>
  </si>
  <si>
    <t>Barslendes cpr.nr.</t>
  </si>
  <si>
    <t>Barslendes navn</t>
  </si>
  <si>
    <t>Barslendes stillingsbetegnelse</t>
  </si>
  <si>
    <t>Faktisk</t>
  </si>
  <si>
    <t>Forventet (Termin)</t>
  </si>
  <si>
    <t xml:space="preserve">Fra: </t>
  </si>
  <si>
    <t xml:space="preserve">Til: </t>
  </si>
  <si>
    <t xml:space="preserve">Barselsperiode </t>
  </si>
  <si>
    <t>Fra</t>
  </si>
  <si>
    <t>Til</t>
  </si>
  <si>
    <t>Barselsperiode</t>
  </si>
  <si>
    <t xml:space="preserve">note til udvikler: placeholder </t>
  </si>
  <si>
    <t>Har barnet været indlagt efter fødsel?</t>
  </si>
  <si>
    <t>Ja/Nej</t>
  </si>
  <si>
    <t>Nej</t>
  </si>
  <si>
    <t xml:space="preserve">Oplys antal dages </t>
  </si>
  <si>
    <t xml:space="preserve">Oplysninger om den barslendes løn under barsel </t>
  </si>
  <si>
    <t>Timenorm (ugentlig arbejdstid):</t>
  </si>
  <si>
    <t>Lønbrøk:</t>
  </si>
  <si>
    <t>Er timenormen ændret i den indberettede periode?</t>
  </si>
  <si>
    <t>Månedsløn med pension:</t>
  </si>
  <si>
    <t>Er lønnen ændret i den indberettede periode?</t>
  </si>
  <si>
    <t>Har den barslende været fuldtidsfraværende på grund af graviditetsgener?</t>
  </si>
  <si>
    <t>Table1[@Til]&gt;Table1[Fra]</t>
  </si>
  <si>
    <t>((Table1[@Fra]&lt;Table1[Til]))</t>
  </si>
  <si>
    <t xml:space="preserve">Fuldtidsfravær grundet graviditetsgener (kun for mor) </t>
  </si>
  <si>
    <t xml:space="preserve">Overlap </t>
  </si>
  <si>
    <t>test</t>
  </si>
  <si>
    <t xml:space="preserve">Beskrivelse </t>
  </si>
  <si>
    <t>sumproduct</t>
  </si>
  <si>
    <t>if&gt;1</t>
  </si>
  <si>
    <t xml:space="preserve">barselsperiode </t>
  </si>
  <si>
    <t xml:space="preserve">Periode 1 </t>
  </si>
  <si>
    <t>gg</t>
  </si>
  <si>
    <t>Periode 2</t>
  </si>
  <si>
    <t xml:space="preserve">Periode 3 </t>
  </si>
  <si>
    <t xml:space="preserve">Periode 4 </t>
  </si>
  <si>
    <t xml:space="preserve">Er det et overlap et sted </t>
  </si>
  <si>
    <t>Hvis den barslendes graviditetsgener fortsatte indtil barselsperioden, vil I modtage barselsdagpengerefusion for hele perioden. Hvis der er et slip imellem, vil I modtage refusion fra Barselsfonden for de første fire uger.  Den samlede refusion vil være den samme.</t>
  </si>
  <si>
    <t>Deltidsfravær grundet graviditetsgener (kun for mor)</t>
  </si>
  <si>
    <t>Har der været nedsatte graviditetsgener?</t>
  </si>
  <si>
    <t>Første dag med nedsatte graviditetsgener:</t>
  </si>
  <si>
    <t xml:space="preserve">alt lilla skjules </t>
  </si>
  <si>
    <t>Terminer (før forventet fødsel)</t>
  </si>
  <si>
    <t>4 uger:</t>
  </si>
  <si>
    <t>8 uger:</t>
  </si>
  <si>
    <t>Måned (skjules)</t>
  </si>
  <si>
    <t xml:space="preserve">Måned Nr </t>
  </si>
  <si>
    <t>samlet</t>
  </si>
  <si>
    <t xml:space="preserve">Skjules - Mellemregning antal dage i "skæve barselsmåneder" </t>
  </si>
  <si>
    <t>Beregning på hvornår rettigheden til barselsdagpenge starter</t>
  </si>
  <si>
    <t>Bruges også til at definere om det skæve eller fulde perioder med barselsdagpenge</t>
  </si>
  <si>
    <t>Start (måned)</t>
  </si>
  <si>
    <t>Slut</t>
  </si>
  <si>
    <t xml:space="preserve">Start / Slut periode Måned </t>
  </si>
  <si>
    <t>start</t>
  </si>
  <si>
    <t>slut</t>
  </si>
  <si>
    <t xml:space="preserve">Last day of month </t>
  </si>
  <si>
    <t xml:space="preserve">Beregtigelse til barselsdagpenge (Start / slut dag i barsels periode. Dette angiver hvornår medarbejderen bliver beregtigt til barselsdagpenge) </t>
  </si>
  <si>
    <t xml:space="preserve">Første dag i nuværende år </t>
  </si>
  <si>
    <t xml:space="preserve">Hvis berrigtigelse til barselsdagpenge &lt; den første dag der søges barselsdagpenge. Bruges første dag i den indberettet periode som beregtiget til barselsdagpenge. </t>
  </si>
  <si>
    <t>Første dag i måneden</t>
  </si>
  <si>
    <t>Ekstra mellemregning</t>
  </si>
  <si>
    <t>lægger start - slut lægger i samme måned?</t>
  </si>
  <si>
    <t xml:space="preserve">Er det en skæv periode i den måned så? </t>
  </si>
  <si>
    <t>Konklusion</t>
  </si>
  <si>
    <t xml:space="preserve">Er det en skæv måned </t>
  </si>
  <si>
    <t>Dage med dagpenge</t>
  </si>
  <si>
    <t xml:space="preserve">Test </t>
  </si>
  <si>
    <t xml:space="preserve">Hvornår skal der betales dagpenge fra </t>
  </si>
  <si>
    <t>Fra:</t>
  </si>
  <si>
    <t>Indtastest barselsperiode:</t>
  </si>
  <si>
    <t xml:space="preserve">Er MA beregtiget ti barseldagpenge i hele perioden </t>
  </si>
  <si>
    <t xml:space="preserve">Skjules - mellemregning antal dage </t>
  </si>
  <si>
    <t xml:space="preserve">Bruges til at definere hvilket måneder der skal vises, bruger minimum dato for NSG GG og barselsperioden og max i barselsperioden </t>
  </si>
  <si>
    <t xml:space="preserve">Første Måned der skal vises </t>
  </si>
  <si>
    <t xml:space="preserve"> </t>
  </si>
  <si>
    <t xml:space="preserve">* Dette bruges til at definere hvilket måneder der skal regnes i </t>
  </si>
  <si>
    <t xml:space="preserve">Sidste måned der skal vises i tabellen </t>
  </si>
  <si>
    <t xml:space="preserve">Skjules - Mellemregning </t>
  </si>
  <si>
    <t>df</t>
  </si>
  <si>
    <t xml:space="preserve">Faktisk fødsels </t>
  </si>
  <si>
    <t xml:space="preserve">4 uger før </t>
  </si>
  <si>
    <t xml:space="preserve">* her starter medarbejderen med at være berregtiget til barselsdagpenge , medmindre der er undtagelser som gør sig gældene </t>
  </si>
  <si>
    <t xml:space="preserve">8  uger før </t>
  </si>
  <si>
    <t xml:space="preserve">* </t>
  </si>
  <si>
    <t xml:space="preserve">Er faktisk fødsel &lt; 4 uger før så brug faktisk fødsels </t>
  </si>
  <si>
    <t>ellers bruges 4 uger før medmindre der har været gg uden slip</t>
  </si>
  <si>
    <t>Skæve lønperioder med alm barsel</t>
  </si>
  <si>
    <t xml:space="preserve">Start </t>
  </si>
  <si>
    <t xml:space="preserve">Start / slut dag i barsels periode </t>
  </si>
  <si>
    <t>Dage med løn</t>
  </si>
  <si>
    <t>Udfyld kun de relevante grå felter</t>
  </si>
  <si>
    <t>DØDE FELTER !!!</t>
  </si>
  <si>
    <t>Skema: Deltidsfravær grundet graviditetsgener (kun for mor)</t>
  </si>
  <si>
    <t>Bruges ikke</t>
  </si>
  <si>
    <t xml:space="preserve"> Fraværstimer pr mdr</t>
  </si>
  <si>
    <t>Barselsdagpenge for NSG</t>
  </si>
  <si>
    <t xml:space="preserve">Lønbrøk </t>
  </si>
  <si>
    <t>Dagpenge Refusion</t>
  </si>
  <si>
    <t>Dagpenge per dag beregning</t>
  </si>
  <si>
    <t>Løn</t>
  </si>
  <si>
    <t>Barsel</t>
  </si>
  <si>
    <t xml:space="preserve">Fejlbesked </t>
  </si>
  <si>
    <t xml:space="preserve">Dagpenge regnet per dag </t>
  </si>
  <si>
    <t>Lønbrøk (Til dagpengerefusion)</t>
  </si>
  <si>
    <t>GG</t>
  </si>
  <si>
    <t xml:space="preserve">Barsel skæve </t>
  </si>
  <si>
    <t>Barsel fulde måneder</t>
  </si>
  <si>
    <t xml:space="preserve">Totalt </t>
  </si>
  <si>
    <t xml:space="preserve">Hverdage </t>
  </si>
  <si>
    <t>Timer (ansættelse)</t>
  </si>
  <si>
    <t>Total</t>
  </si>
  <si>
    <t>Måned (Jan=1,Dec=12)</t>
  </si>
  <si>
    <t>Løn i skæv periode med alm barsel</t>
  </si>
  <si>
    <t xml:space="preserve">Mellemregning - skæv lønperiode </t>
  </si>
  <si>
    <t>Mellemregning</t>
  </si>
  <si>
    <t>Antal svæve dage</t>
  </si>
  <si>
    <t xml:space="preserve">Fulde GG dage (tæller ikke nedsat GG med) </t>
  </si>
  <si>
    <t xml:space="preserve">NSG løn kompensation </t>
  </si>
  <si>
    <t>Særtilfælde (to skæve perioder = fuld)</t>
  </si>
  <si>
    <t>Løn der skal kompensere for GG</t>
  </si>
  <si>
    <t xml:space="preserve">Er medarbejder berigtigt til barselsdagpenge i denne periode </t>
  </si>
  <si>
    <t xml:space="preserve">Er det en skæv Barsels måned </t>
  </si>
  <si>
    <t>Start/Slut</t>
  </si>
  <si>
    <t>dagsnorm</t>
  </si>
  <si>
    <t xml:space="preserve">Timeløn Per måned </t>
  </si>
  <si>
    <t>Timeløn per år</t>
  </si>
  <si>
    <t>Start (mdr)</t>
  </si>
  <si>
    <t>Slut (mdr)</t>
  </si>
  <si>
    <t>Hverdage i den pågældene måned</t>
  </si>
  <si>
    <t>refundarbar månedløn &gt; månedløn</t>
  </si>
  <si>
    <t xml:space="preserve">Dage med dagpenge </t>
  </si>
  <si>
    <t>Total + NSG og GG</t>
  </si>
  <si>
    <t>I nedenstående skema kan du oplyse ændringer i timenormen eller lønnen i de grå felter, hvis du tidligere svarede ja til, at der har været ændringer. Bemærk, at ved ændret timenorm skal du både oplyse timenormen og den nye løn.</t>
  </si>
  <si>
    <t>Skema: Løn og Timenorm</t>
  </si>
  <si>
    <t xml:space="preserve">Evt. ændringer </t>
  </si>
  <si>
    <t>Måned</t>
  </si>
  <si>
    <t>Timenorm</t>
  </si>
  <si>
    <t xml:space="preserve">Refunderbar løn </t>
  </si>
  <si>
    <t>Månedsløn</t>
  </si>
  <si>
    <t xml:space="preserve">I alt: </t>
  </si>
  <si>
    <t>Du er nu færdig og kan se resultatet!</t>
  </si>
  <si>
    <t>Resultat</t>
  </si>
  <si>
    <t>Refunderbare lønudgifter</t>
  </si>
  <si>
    <t>Dagpengerefusion</t>
  </si>
  <si>
    <t>Tilskud fra Barselsfonden</t>
  </si>
  <si>
    <t>Bemærkninger</t>
  </si>
  <si>
    <t>Skriv eventuelle bemærkninger her, for eksempel om du er bekendt med, om medarbejderen har flere ansættelser eller lignende.</t>
  </si>
  <si>
    <t>Indsend arket til: Barselsfond@kk.dk</t>
  </si>
  <si>
    <t>Barselsfonden kan anmode om at få tilsendt lønsedler som dokumentation.</t>
  </si>
  <si>
    <t xml:space="preserve">Til sagsbehandling i Koncernservice </t>
  </si>
  <si>
    <t>Faktisk / Forventet</t>
  </si>
  <si>
    <t>Berrigtigelse til barselsdagpenge</t>
  </si>
  <si>
    <t xml:space="preserve">Barselsdagpenge periode i uger </t>
  </si>
  <si>
    <t xml:space="preserve">Forlænget barselsperiode grundet hospital indlæggelse: </t>
  </si>
  <si>
    <t>Antal dage</t>
  </si>
  <si>
    <t>Er fødslen før eller efter d.</t>
  </si>
  <si>
    <t xml:space="preserve">Før Termin </t>
  </si>
  <si>
    <t>13 uger</t>
  </si>
  <si>
    <t>8 uger</t>
  </si>
  <si>
    <t>4 uger</t>
  </si>
  <si>
    <t>"D.D."</t>
  </si>
  <si>
    <t>Efter Termin</t>
  </si>
  <si>
    <t>14 uger</t>
  </si>
  <si>
    <t>20 uger</t>
  </si>
  <si>
    <t>26 uger</t>
  </si>
  <si>
    <t>40 uger (14+6+20)</t>
  </si>
  <si>
    <t>46 uger (14+6+6+20)</t>
  </si>
  <si>
    <t>54 uger</t>
  </si>
  <si>
    <t>60 uger</t>
  </si>
  <si>
    <r>
      <rPr>
        <b/>
        <sz val="11"/>
        <color theme="1"/>
        <rFont val="Calibri"/>
        <family val="2"/>
        <scheme val="minor"/>
      </rPr>
      <t>Dagpengesatser</t>
    </r>
    <r>
      <rPr>
        <sz val="11"/>
        <color theme="1"/>
        <rFont val="Calibri"/>
        <family val="2"/>
        <scheme val="minor"/>
      </rPr>
      <t xml:space="preserve"> (Inklusivt pensionsbidrag på 1,5%)</t>
    </r>
  </si>
  <si>
    <t>Dag</t>
  </si>
  <si>
    <r>
      <rPr>
        <b/>
        <sz val="11"/>
        <color theme="1"/>
        <rFont val="KBH"/>
      </rPr>
      <t>Om anmodningsskemaet</t>
    </r>
    <r>
      <rPr>
        <sz val="11"/>
        <color theme="1"/>
        <rFont val="KBH"/>
      </rPr>
      <t xml:space="preserve">
Anmodningsskemaet bruges af selvejende institutioner til at ansøge om tilskud fra København Kommunes Barselsfond i forbindelse med medarbejderes barsel og fravær grundet graviditetsgener. Den enkelte enhed skal udfylde oplysninger om medarbejderens løn, arbejdstid og barselsrelaterede fravær. Skemaet beregner på den baggrund enhedens tilskud fra Barselsfonden.
Fra den 1. januar 2024 overgik Københavns Kommunes Barselsfond til en ny model for tilskud. Med den nye model vil enhederne få tilskud baseret på lønudgifter for den medarbejder, som er på barsel. Det betyder, at enhederne ikke længere behøver at ansætte en barselsvikar for at få tilskud. I forbindelse med overgangen til den nye model er det tidligere anmodningsskema blevet erstattet af dette skema.
</t>
    </r>
    <r>
      <rPr>
        <b/>
        <sz val="11"/>
        <color theme="1"/>
        <rFont val="KBH"/>
      </rPr>
      <t xml:space="preserve">Hvad beregner skemaet?
</t>
    </r>
    <r>
      <rPr>
        <u/>
        <sz val="11"/>
        <color theme="1"/>
        <rFont val="KBH"/>
      </rPr>
      <t>Refunderbare lønudgifter til den barslende</t>
    </r>
    <r>
      <rPr>
        <sz val="11"/>
        <color theme="1"/>
        <rFont val="KBH"/>
      </rPr>
      <t xml:space="preserve">
Skemaet beregner den samlede refunderbare lønudgift for medarbejderen i den lønnede periode med fravær.
</t>
    </r>
    <r>
      <rPr>
        <u/>
        <sz val="11"/>
        <color theme="1"/>
        <rFont val="KBH"/>
      </rPr>
      <t>Dagpengerefusion</t>
    </r>
    <r>
      <rPr>
        <sz val="11"/>
        <color theme="1"/>
        <rFont val="KBH"/>
      </rPr>
      <t xml:space="preserve">
Skemaet beregner forventet dagpengerefusion fra Udbetaling Danmark, som dækker barselsrelateret fravær, herunder fuldtids- eller deltidsfravær grundet graviditetsgener.
Enheden kan højst modtage refusion for 37 timer om ugen. Hvis medarbejderen er ansat flere steder, vil refusionen blive fordelt i forhold til beskæftigelsesgraden på de forskellige arbejdspladser.
</t>
    </r>
    <r>
      <rPr>
        <u/>
        <sz val="11"/>
        <color theme="1"/>
        <rFont val="KBH"/>
      </rPr>
      <t xml:space="preserve">Tilskud fra Barselsfonden
</t>
    </r>
    <r>
      <rPr>
        <sz val="11"/>
        <color theme="1"/>
        <rFont val="KBH"/>
      </rPr>
      <t xml:space="preserve">Skemaet beregner tilskud fra Barselsfonden. Denne beregning danner grundlag for, at Koncernservice udbetaler tilskud til enheden. Enheden modtager tilskud fra Barselsfonden, som dækker differencen mellem den forventede dagpengerefusion og lønudgiften for den barslende. 
</t>
    </r>
    <r>
      <rPr>
        <b/>
        <sz val="11"/>
        <color theme="1"/>
        <rFont val="KBH"/>
      </rPr>
      <t>Hvilke oplysninger skal skemaet bruge?</t>
    </r>
    <r>
      <rPr>
        <sz val="11"/>
        <color theme="1"/>
        <rFont val="KBH"/>
      </rPr>
      <t xml:space="preserve">
</t>
    </r>
    <r>
      <rPr>
        <u/>
        <sz val="11"/>
        <color theme="1"/>
        <rFont val="KBH"/>
      </rPr>
      <t>Den barslendes løn og arbejdstid</t>
    </r>
    <r>
      <rPr>
        <sz val="11"/>
        <color theme="1"/>
        <rFont val="KBH"/>
      </rPr>
      <t xml:space="preserve">
Det er vigtigt at oplyse i skemaet, hvis der er ændringer i medarbejderens løn eller arbejdstid i perioden med barsels- eller graviditetrelateret fravær. Ændringerne har indflydelse på beregning af tilskud fra Barselsfonden.
</t>
    </r>
    <r>
      <rPr>
        <u/>
        <sz val="11"/>
        <color theme="1"/>
        <rFont val="KBH"/>
      </rPr>
      <t xml:space="preserve">Fuldtids- eller deltidsfravær grundet graviditetsgener
</t>
    </r>
    <r>
      <rPr>
        <sz val="11"/>
        <color theme="1"/>
        <rFont val="KBH"/>
      </rPr>
      <t xml:space="preserve">Hvis moren har fuldtids- eller deltidsfravær grundet graviditetsgener, modtager enheden tilskud for fraværet på samme måde som for andet barselsrelateret fravær. Den barslende kan have en kombination af fultids- og deltidsfravær grundet graviditetsgener. Dette oplyses separat i skemaet. 
</t>
    </r>
    <r>
      <rPr>
        <b/>
        <sz val="11"/>
        <color theme="1"/>
        <rFont val="KBH"/>
      </rPr>
      <t>Kontakt Koncernservice på 70 80 80 00, hvis:</t>
    </r>
    <r>
      <rPr>
        <sz val="11"/>
        <color theme="1"/>
        <rFont val="KBH"/>
      </rPr>
      <t xml:space="preserve">
    •  Medarbejder holder sorg- eller adoptionsorlov, 
    •  Medarbejder har en arbejdstid på under 10 timer om ugen. I dette tilfælde opfylder medarbejderen ikke Udbetaling Danmarks beskæftigelseskrav om ret til dagpenge og enheden er ikke berettiget til barselsdagpengerefusion eller tilskud fra Barselsfonden.
</t>
    </r>
  </si>
  <si>
    <t xml:space="preserve">År </t>
  </si>
  <si>
    <t>Column1</t>
  </si>
  <si>
    <t xml:space="preserve">GG - Ny per dag </t>
  </si>
  <si>
    <t>Sammenlignet med total i barselsdagpenge ved skæve + fuldemaaneder</t>
  </si>
  <si>
    <t>DiffABS</t>
  </si>
  <si>
    <t>xx-xx-xxxx</t>
  </si>
  <si>
    <t>Version 2.1</t>
  </si>
  <si>
    <t xml:space="preserve">AKTIV IM konto 
</t>
  </si>
  <si>
    <t>Nej (kun et barn)</t>
  </si>
  <si>
    <t>Er der tale om flerlinger?</t>
  </si>
  <si>
    <t>Mor</t>
  </si>
  <si>
    <t xml:space="preserve">Nej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</si>
</sst>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 #,##0.00_ ;_ * \-#,##0.00_ ;_ * &quot;-&quot;??_ ;_ @_ "/>
    <numFmt numFmtId="165" formatCode="_ &quot;kr&quot;\ * #,##0.00_ ;_ &quot;kr&quot;\ * \-#,##0.00_ ;_ &quot;kr&quot;\ * &quot;-&quot;??_ ;_ @_ "/>
    <numFmt numFmtId="166" formatCode="_(* #,##0.00_);_(* \(#,##0.00\);_(* &quot;-&quot;??_);_(@_)"/>
    <numFmt numFmtId="167" formatCode="_ &quot;kr&quot;\ * #,##0_ ;_ &quot;kr&quot;\ * \-#,##0_ ;_ &quot;kr&quot;\ * &quot;-&quot;??_ ;_ @_ "/>
    <numFmt numFmtId="168" formatCode="0.0"/>
    <numFmt numFmtId="169" formatCode="mmmm"/>
    <numFmt numFmtId="170" formatCode="#,##0\ &quot;kr.&quot;"/>
    <numFmt numFmtId="171" formatCode="_-* #,##0\ &quot;kr.&quot;_-;\-* #,##0\ &quot;kr.&quot;_-;_-* &quot;-&quot;??\ &quot;kr.&quot;_-;_-@_-"/>
    <numFmt numFmtId="172" formatCode="#,##0.0\ &quot;kr.&quot;"/>
    <numFmt numFmtId="173" formatCode="0.0000"/>
    <numFmt numFmtId="174" formatCode="0.00000"/>
  </numFmts>
  <fonts count="56" x14ac:knownFonts="1">
    <font>
      <sz val="11"/>
      <color theme="1"/>
      <name val="Calibri"/>
      <family val="2"/>
      <scheme val="minor"/>
    </font>
    <font>
      <sz val="11"/>
      <color theme="1"/>
      <name val="Calibri"/>
      <family val="2"/>
      <scheme val="minor"/>
    </font>
    <font>
      <sz val="10"/>
      <name val="Arial"/>
      <family val="2"/>
    </font>
    <font>
      <sz val="10"/>
      <name val="Arial"/>
      <family val="2"/>
    </font>
    <font>
      <u/>
      <sz val="11"/>
      <color theme="10"/>
      <name val="Calibri"/>
      <family val="2"/>
      <scheme val="minor"/>
    </font>
    <font>
      <b/>
      <sz val="9"/>
      <color indexed="81"/>
      <name val="Tahoma"/>
      <family val="2"/>
    </font>
    <font>
      <sz val="9"/>
      <color indexed="81"/>
      <name val="Tahoma"/>
      <family val="2"/>
    </font>
    <font>
      <sz val="11"/>
      <color theme="1"/>
      <name val="KBH"/>
    </font>
    <font>
      <sz val="11"/>
      <color rgb="FFFF0000"/>
      <name val="KBH"/>
    </font>
    <font>
      <b/>
      <sz val="11"/>
      <color rgb="FFFF0000"/>
      <name val="KBH"/>
    </font>
    <font>
      <sz val="12"/>
      <color theme="1"/>
      <name val="KBH"/>
    </font>
    <font>
      <sz val="11"/>
      <color rgb="FF000C2E"/>
      <name val="KBH"/>
    </font>
    <font>
      <sz val="14"/>
      <color rgb="FF000C2E"/>
      <name val="KBH"/>
    </font>
    <font>
      <b/>
      <sz val="14"/>
      <color rgb="FF000C2E"/>
      <name val="KBH"/>
    </font>
    <font>
      <i/>
      <sz val="11"/>
      <color rgb="FF000C2E"/>
      <name val="KBH"/>
    </font>
    <font>
      <sz val="10"/>
      <color rgb="FF000C2E"/>
      <name val="KBH"/>
    </font>
    <font>
      <b/>
      <sz val="11"/>
      <color rgb="FF000C2E"/>
      <name val="KBH"/>
    </font>
    <font>
      <u/>
      <sz val="11"/>
      <color rgb="FF000C2E"/>
      <name val="KBH"/>
    </font>
    <font>
      <b/>
      <sz val="10"/>
      <color rgb="FF000C2E"/>
      <name val="KBH"/>
    </font>
    <font>
      <b/>
      <sz val="12"/>
      <color rgb="FF000C2E"/>
      <name val="KBH"/>
    </font>
    <font>
      <b/>
      <sz val="16"/>
      <color rgb="FF000C2E"/>
      <name val="KBH"/>
    </font>
    <font>
      <sz val="12"/>
      <color rgb="FF000C2E"/>
      <name val="KBH"/>
    </font>
    <font>
      <b/>
      <i/>
      <sz val="11"/>
      <color rgb="FF000C2E"/>
      <name val="KBH"/>
    </font>
    <font>
      <i/>
      <sz val="12"/>
      <color rgb="FF000C2E"/>
      <name val="KBH"/>
    </font>
    <font>
      <b/>
      <i/>
      <sz val="12"/>
      <color rgb="FF000C2E"/>
      <name val="KBH"/>
    </font>
    <font>
      <b/>
      <u/>
      <sz val="11"/>
      <color rgb="FF000C2E"/>
      <name val="KBH"/>
    </font>
    <font>
      <b/>
      <sz val="16"/>
      <color rgb="FF000C2E"/>
      <name val="KBH Black"/>
    </font>
    <font>
      <b/>
      <u/>
      <sz val="16"/>
      <color rgb="FF000C2E"/>
      <name val="KBH"/>
    </font>
    <font>
      <b/>
      <sz val="9"/>
      <color rgb="FF000C2E"/>
      <name val="KBH"/>
    </font>
    <font>
      <sz val="9"/>
      <color rgb="FF000C2E"/>
      <name val="KBH"/>
    </font>
    <font>
      <sz val="9"/>
      <color theme="1"/>
      <name val="KBH"/>
    </font>
    <font>
      <b/>
      <sz val="11"/>
      <color rgb="FF000C2E"/>
      <name val="KBH Black"/>
    </font>
    <font>
      <b/>
      <sz val="11"/>
      <color theme="1"/>
      <name val="KBH"/>
    </font>
    <font>
      <sz val="16"/>
      <color theme="6" tint="-0.499984740745262"/>
      <name val="KBH Black"/>
    </font>
    <font>
      <b/>
      <sz val="14"/>
      <color rgb="FFFF0000"/>
      <name val="KBH"/>
    </font>
    <font>
      <b/>
      <sz val="18"/>
      <color rgb="FF000C2E"/>
      <name val="KBH"/>
    </font>
    <font>
      <u/>
      <sz val="11"/>
      <color theme="1"/>
      <name val="KBH"/>
    </font>
    <font>
      <b/>
      <sz val="11"/>
      <color theme="1"/>
      <name val="Calibri"/>
      <family val="2"/>
      <scheme val="minor"/>
    </font>
    <font>
      <b/>
      <sz val="9"/>
      <color theme="1"/>
      <name val="KBH"/>
    </font>
    <font>
      <b/>
      <sz val="11"/>
      <name val="KBH"/>
    </font>
    <font>
      <b/>
      <u/>
      <sz val="14"/>
      <color theme="1"/>
      <name val="KBH"/>
    </font>
    <font>
      <i/>
      <sz val="9"/>
      <color theme="1"/>
      <name val="KBH"/>
    </font>
    <font>
      <b/>
      <u/>
      <sz val="9"/>
      <color rgb="FF000C2E"/>
      <name val="KBH"/>
    </font>
    <font>
      <sz val="11"/>
      <name val="KBH"/>
    </font>
    <font>
      <sz val="10"/>
      <color rgb="FFF6F6F8"/>
      <name val="KBH"/>
    </font>
    <font>
      <b/>
      <sz val="11"/>
      <color theme="6" tint="-0.499984740745262"/>
      <name val="KBH"/>
    </font>
    <font>
      <sz val="9"/>
      <color indexed="81"/>
      <name val="Tahoma"/>
      <charset val="1"/>
    </font>
    <font>
      <b/>
      <sz val="9"/>
      <color indexed="81"/>
      <name val="Tahoma"/>
      <charset val="1"/>
    </font>
    <font>
      <b/>
      <sz val="10"/>
      <name val="Arial"/>
      <family val="2"/>
    </font>
    <font>
      <b/>
      <sz val="9"/>
      <name val="Arial"/>
      <family val="2"/>
    </font>
    <font>
      <sz val="9"/>
      <name val="Arial"/>
      <family val="2"/>
    </font>
    <font>
      <b/>
      <u/>
      <sz val="10"/>
      <name val="Arial"/>
      <family val="2"/>
    </font>
    <font>
      <sz val="10"/>
      <color theme="1"/>
      <name val="KBH"/>
    </font>
    <font>
      <b/>
      <sz val="11"/>
      <color rgb="FFF6F6F8"/>
      <name val="KBH"/>
    </font>
    <font>
      <sz val="8"/>
      <color theme="1"/>
      <name val="Calibri"/>
      <family val="2"/>
      <scheme val="minor"/>
    </font>
    <font>
      <b/>
      <i/>
      <sz val="14"/>
      <color rgb="FF7030A0"/>
      <name val="KBH"/>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C9BFE1"/>
        <bgColor indexed="64"/>
      </patternFill>
    </fill>
    <fill>
      <patternFill patternType="solid">
        <fgColor rgb="FF000C2E"/>
        <bgColor indexed="64"/>
      </patternFill>
    </fill>
    <fill>
      <patternFill patternType="solid">
        <fgColor rgb="FFCBE9FC"/>
        <bgColor indexed="64"/>
      </patternFill>
    </fill>
    <fill>
      <patternFill patternType="solid">
        <fgColor rgb="FFF6F6F8"/>
        <bgColor indexed="64"/>
      </patternFill>
    </fill>
    <fill>
      <patternFill patternType="solid">
        <fgColor rgb="FFABABAB"/>
        <bgColor indexed="64"/>
      </patternFill>
    </fill>
    <fill>
      <patternFill patternType="solid">
        <fgColor rgb="FF7030A0"/>
        <bgColor indexed="64"/>
      </patternFill>
    </fill>
    <fill>
      <patternFill patternType="solid">
        <fgColor rgb="FF7C4AFF"/>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ABABAB"/>
        <bgColor rgb="FF000000"/>
      </patternFill>
    </fill>
    <fill>
      <patternFill patternType="solid">
        <fgColor rgb="FF606060"/>
        <bgColor indexed="64"/>
      </patternFill>
    </fill>
    <fill>
      <patternFill patternType="solid">
        <fgColor rgb="FF898989"/>
        <bgColor indexed="64"/>
      </patternFill>
    </fill>
    <fill>
      <patternFill patternType="solid">
        <fgColor rgb="FFF6F6F8"/>
        <bgColor rgb="FF000000"/>
      </patternFill>
    </fill>
    <fill>
      <patternFill patternType="solid">
        <fgColor theme="8" tint="0.59999389629810485"/>
        <bgColor indexed="64"/>
      </patternFill>
    </fill>
    <fill>
      <patternFill patternType="solid">
        <fgColor rgb="FFFFFF00"/>
        <bgColor indexed="64"/>
      </patternFill>
    </fill>
    <fill>
      <patternFill patternType="solid">
        <fgColor rgb="FFFFE9E9"/>
        <bgColor indexed="64"/>
      </patternFill>
    </fill>
    <fill>
      <patternFill patternType="solid">
        <fgColor rgb="FFFFC000"/>
        <bgColor indexed="64"/>
      </patternFill>
    </fill>
    <fill>
      <patternFill patternType="solid">
        <fgColor theme="2" tint="-0.49998474074526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ck">
        <color rgb="FF7030A0"/>
      </left>
      <right/>
      <top style="thick">
        <color rgb="FF7030A0"/>
      </top>
      <bottom/>
      <diagonal/>
    </border>
    <border>
      <left/>
      <right/>
      <top style="thick">
        <color rgb="FF7030A0"/>
      </top>
      <bottom/>
      <diagonal/>
    </border>
    <border>
      <left/>
      <right style="thick">
        <color rgb="FF7030A0"/>
      </right>
      <top style="thick">
        <color rgb="FF7030A0"/>
      </top>
      <bottom/>
      <diagonal/>
    </border>
    <border>
      <left style="thick">
        <color rgb="FF7030A0"/>
      </left>
      <right/>
      <top/>
      <bottom/>
      <diagonal/>
    </border>
    <border>
      <left/>
      <right style="thick">
        <color rgb="FF7030A0"/>
      </right>
      <top/>
      <bottom/>
      <diagonal/>
    </border>
    <border>
      <left style="thick">
        <color rgb="FF7030A0"/>
      </left>
      <right/>
      <top/>
      <bottom style="thick">
        <color rgb="FF7030A0"/>
      </bottom>
      <diagonal/>
    </border>
    <border>
      <left/>
      <right/>
      <top/>
      <bottom style="thick">
        <color rgb="FF7030A0"/>
      </bottom>
      <diagonal/>
    </border>
    <border>
      <left/>
      <right style="thick">
        <color rgb="FF7030A0"/>
      </right>
      <top/>
      <bottom style="thick">
        <color rgb="FF7030A0"/>
      </bottom>
      <diagonal/>
    </border>
    <border>
      <left/>
      <right style="thin">
        <color rgb="FF000000"/>
      </right>
      <top style="thin">
        <color indexed="64"/>
      </top>
      <bottom style="thin">
        <color indexed="64"/>
      </bottom>
      <diagonal/>
    </border>
    <border>
      <left/>
      <right style="thin">
        <color rgb="FF000000"/>
      </right>
      <top/>
      <bottom style="thin">
        <color indexed="64"/>
      </bottom>
      <diagonal/>
    </border>
    <border>
      <left/>
      <right style="thin">
        <color theme="3"/>
      </right>
      <top/>
      <bottom/>
      <diagonal/>
    </border>
    <border>
      <left style="thin">
        <color theme="3"/>
      </left>
      <right/>
      <top/>
      <bottom/>
      <diagonal/>
    </border>
    <border>
      <left style="medium">
        <color indexed="64"/>
      </left>
      <right style="thin">
        <color indexed="64"/>
      </right>
      <top/>
      <bottom/>
      <diagonal/>
    </border>
  </borders>
  <cellStyleXfs count="23">
    <xf numFmtId="0" fontId="0" fillId="0" borderId="0"/>
    <xf numFmtId="164" fontId="1" fillId="0" borderId="0" applyFont="0" applyFill="0" applyBorder="0" applyAlignment="0" applyProtection="0"/>
    <xf numFmtId="0" fontId="2" fillId="0" borderId="0"/>
    <xf numFmtId="166" fontId="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1" fillId="0" borderId="0" applyFont="0" applyFill="0" applyBorder="0" applyAlignment="0" applyProtection="0"/>
    <xf numFmtId="0" fontId="4" fillId="0" borderId="0" applyNumberFormat="0" applyFill="0" applyBorder="0" applyAlignment="0" applyProtection="0"/>
    <xf numFmtId="165" fontId="1"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cellStyleXfs>
  <cellXfs count="442">
    <xf numFmtId="0" fontId="0" fillId="0" borderId="0" xfId="0"/>
    <xf numFmtId="167" fontId="11" fillId="7" borderId="0" xfId="13" applyNumberFormat="1" applyFont="1" applyFill="1" applyBorder="1" applyProtection="1"/>
    <xf numFmtId="164" fontId="11" fillId="0" borderId="0" xfId="1" applyFont="1" applyFill="1" applyBorder="1" applyAlignment="1" applyProtection="1"/>
    <xf numFmtId="164" fontId="11" fillId="3" borderId="0" xfId="1" applyFont="1" applyFill="1" applyBorder="1" applyAlignment="1" applyProtection="1"/>
    <xf numFmtId="2" fontId="11" fillId="0" borderId="0" xfId="13" applyNumberFormat="1" applyFont="1" applyProtection="1"/>
    <xf numFmtId="0" fontId="11" fillId="8" borderId="1" xfId="0" applyFont="1" applyFill="1" applyBorder="1" applyAlignment="1" applyProtection="1">
      <alignment horizontal="center"/>
      <protection locked="0"/>
    </xf>
    <xf numFmtId="14" fontId="11" fillId="8" borderId="1" xfId="0" applyNumberFormat="1" applyFont="1" applyFill="1" applyBorder="1" applyProtection="1">
      <protection locked="0"/>
    </xf>
    <xf numFmtId="0" fontId="7" fillId="0" borderId="17" xfId="0" applyFont="1" applyBorder="1"/>
    <xf numFmtId="0" fontId="7" fillId="0" borderId="0" xfId="0" applyFont="1"/>
    <xf numFmtId="0" fontId="7" fillId="0" borderId="18" xfId="0" applyFont="1" applyBorder="1"/>
    <xf numFmtId="0" fontId="11" fillId="7" borderId="0" xfId="0" applyFont="1" applyFill="1"/>
    <xf numFmtId="0" fontId="11" fillId="0" borderId="0" xfId="0" applyFont="1"/>
    <xf numFmtId="0" fontId="7" fillId="7" borderId="0" xfId="0" applyFont="1" applyFill="1"/>
    <xf numFmtId="0" fontId="15" fillId="3" borderId="1" xfId="2" applyFont="1" applyFill="1" applyBorder="1" applyAlignment="1">
      <alignment horizontal="right"/>
    </xf>
    <xf numFmtId="168" fontId="15" fillId="3" borderId="1" xfId="2" applyNumberFormat="1" applyFont="1" applyFill="1" applyBorder="1"/>
    <xf numFmtId="0" fontId="15" fillId="3" borderId="1" xfId="0" applyFont="1" applyFill="1" applyBorder="1" applyAlignment="1">
      <alignment horizontal="right"/>
    </xf>
    <xf numFmtId="0" fontId="15" fillId="3" borderId="1" xfId="0" applyFont="1" applyFill="1" applyBorder="1"/>
    <xf numFmtId="0" fontId="8" fillId="7" borderId="17" xfId="0" applyFont="1" applyFill="1" applyBorder="1" applyAlignment="1">
      <alignment horizontal="center"/>
    </xf>
    <xf numFmtId="0" fontId="8" fillId="7" borderId="0" xfId="0" applyFont="1" applyFill="1" applyAlignment="1">
      <alignment horizontal="center"/>
    </xf>
    <xf numFmtId="0" fontId="15" fillId="3" borderId="0" xfId="0" applyFont="1" applyFill="1" applyAlignment="1">
      <alignment horizontal="right"/>
    </xf>
    <xf numFmtId="0" fontId="15" fillId="3" borderId="0" xfId="0" applyFont="1" applyFill="1"/>
    <xf numFmtId="0" fontId="11" fillId="5" borderId="0" xfId="0" applyFont="1" applyFill="1"/>
    <xf numFmtId="0" fontId="16" fillId="0" borderId="0" xfId="0" applyFont="1" applyAlignment="1">
      <alignment horizontal="left"/>
    </xf>
    <xf numFmtId="0" fontId="7" fillId="7" borderId="17" xfId="0" applyFont="1" applyFill="1" applyBorder="1"/>
    <xf numFmtId="0" fontId="11" fillId="7" borderId="18" xfId="0" applyFont="1" applyFill="1" applyBorder="1"/>
    <xf numFmtId="0" fontId="11" fillId="6" borderId="0" xfId="0" applyFont="1" applyFill="1"/>
    <xf numFmtId="0" fontId="14" fillId="7" borderId="17" xfId="0" applyFont="1" applyFill="1" applyBorder="1"/>
    <xf numFmtId="0" fontId="9" fillId="0" borderId="0" xfId="0" applyFont="1"/>
    <xf numFmtId="0" fontId="13" fillId="7" borderId="17" xfId="2" applyFont="1" applyFill="1" applyBorder="1"/>
    <xf numFmtId="0" fontId="13" fillId="7" borderId="0" xfId="2" applyFont="1" applyFill="1"/>
    <xf numFmtId="0" fontId="16" fillId="7" borderId="0" xfId="2" applyFont="1" applyFill="1" applyAlignment="1">
      <alignment horizontal="left"/>
    </xf>
    <xf numFmtId="0" fontId="15" fillId="0" borderId="0" xfId="2" applyFont="1"/>
    <xf numFmtId="0" fontId="7" fillId="8" borderId="0" xfId="0" applyFont="1" applyFill="1"/>
    <xf numFmtId="0" fontId="11" fillId="7" borderId="17" xfId="0" applyFont="1" applyFill="1" applyBorder="1"/>
    <xf numFmtId="0" fontId="15" fillId="7" borderId="0" xfId="2" applyFont="1" applyFill="1" applyAlignment="1">
      <alignment horizontal="center"/>
    </xf>
    <xf numFmtId="0" fontId="7" fillId="9" borderId="0" xfId="0" applyFont="1" applyFill="1"/>
    <xf numFmtId="0" fontId="15" fillId="7" borderId="8" xfId="2" applyFont="1" applyFill="1" applyBorder="1" applyAlignment="1">
      <alignment horizontal="center"/>
    </xf>
    <xf numFmtId="0" fontId="15" fillId="7" borderId="8" xfId="0" applyFont="1" applyFill="1" applyBorder="1" applyAlignment="1">
      <alignment horizontal="right"/>
    </xf>
    <xf numFmtId="0" fontId="15" fillId="7" borderId="9" xfId="0" applyFont="1" applyFill="1" applyBorder="1"/>
    <xf numFmtId="0" fontId="11" fillId="7" borderId="0" xfId="2" applyFont="1" applyFill="1"/>
    <xf numFmtId="0" fontId="18" fillId="0" borderId="0" xfId="2" applyFont="1"/>
    <xf numFmtId="0" fontId="15" fillId="0" borderId="0" xfId="2" applyFont="1" applyAlignment="1">
      <alignment horizontal="center" wrapText="1"/>
    </xf>
    <xf numFmtId="0" fontId="16" fillId="7" borderId="17" xfId="2" applyFont="1" applyFill="1" applyBorder="1" applyAlignment="1">
      <alignment horizontal="left"/>
    </xf>
    <xf numFmtId="0" fontId="11" fillId="7" borderId="0" xfId="2" applyFont="1" applyFill="1" applyAlignment="1">
      <alignment horizontal="left"/>
    </xf>
    <xf numFmtId="0" fontId="11" fillId="7" borderId="18" xfId="2" applyFont="1" applyFill="1" applyBorder="1" applyAlignment="1">
      <alignment horizontal="left"/>
    </xf>
    <xf numFmtId="0" fontId="16" fillId="7" borderId="18" xfId="2" applyFont="1" applyFill="1" applyBorder="1" applyAlignment="1">
      <alignment horizontal="left"/>
    </xf>
    <xf numFmtId="0" fontId="16" fillId="7" borderId="0" xfId="2" applyFont="1" applyFill="1"/>
    <xf numFmtId="0" fontId="25" fillId="7" borderId="6" xfId="2" applyFont="1" applyFill="1" applyBorder="1" applyAlignment="1">
      <alignment horizontal="left"/>
    </xf>
    <xf numFmtId="0" fontId="25" fillId="7" borderId="8" xfId="2" applyFont="1" applyFill="1" applyBorder="1" applyAlignment="1">
      <alignment horizontal="left"/>
    </xf>
    <xf numFmtId="0" fontId="16" fillId="7" borderId="8" xfId="2" applyFont="1" applyFill="1" applyBorder="1" applyAlignment="1">
      <alignment horizontal="left"/>
    </xf>
    <xf numFmtId="0" fontId="16" fillId="7" borderId="9" xfId="2" applyFont="1" applyFill="1" applyBorder="1" applyAlignment="1">
      <alignment horizontal="left"/>
    </xf>
    <xf numFmtId="14" fontId="15" fillId="0" borderId="0" xfId="2" applyNumberFormat="1" applyFont="1"/>
    <xf numFmtId="14" fontId="15" fillId="0" borderId="0" xfId="2" applyNumberFormat="1" applyFont="1" applyAlignment="1">
      <alignment horizontal="right"/>
    </xf>
    <xf numFmtId="0" fontId="16" fillId="7" borderId="5" xfId="2" applyFont="1" applyFill="1" applyBorder="1" applyAlignment="1">
      <alignment horizontal="left"/>
    </xf>
    <xf numFmtId="0" fontId="11" fillId="7" borderId="1" xfId="2" applyFont="1" applyFill="1" applyBorder="1"/>
    <xf numFmtId="0" fontId="20" fillId="4" borderId="17" xfId="0" applyFont="1" applyFill="1" applyBorder="1"/>
    <xf numFmtId="0" fontId="11" fillId="4" borderId="0" xfId="0" applyFont="1" applyFill="1"/>
    <xf numFmtId="0" fontId="11" fillId="4" borderId="0" xfId="0" applyFont="1" applyFill="1" applyAlignment="1">
      <alignment horizontal="center"/>
    </xf>
    <xf numFmtId="0" fontId="16" fillId="7" borderId="2" xfId="2" applyFont="1" applyFill="1" applyBorder="1" applyAlignment="1">
      <alignment horizontal="left"/>
    </xf>
    <xf numFmtId="0" fontId="16" fillId="7" borderId="4" xfId="2" applyFont="1" applyFill="1" applyBorder="1" applyAlignment="1">
      <alignment horizontal="left"/>
    </xf>
    <xf numFmtId="0" fontId="11" fillId="4" borderId="17" xfId="0" applyFont="1" applyFill="1" applyBorder="1"/>
    <xf numFmtId="14" fontId="11" fillId="4" borderId="0" xfId="0" applyNumberFormat="1" applyFont="1" applyFill="1" applyAlignment="1">
      <alignment horizontal="center"/>
    </xf>
    <xf numFmtId="0" fontId="7" fillId="4" borderId="0" xfId="0" applyFont="1" applyFill="1"/>
    <xf numFmtId="0" fontId="19" fillId="7" borderId="0" xfId="0" applyFont="1" applyFill="1" applyAlignment="1">
      <alignment vertical="center"/>
    </xf>
    <xf numFmtId="0" fontId="27" fillId="7" borderId="17" xfId="0" applyFont="1" applyFill="1" applyBorder="1"/>
    <xf numFmtId="2" fontId="15" fillId="0" borderId="0" xfId="2" applyNumberFormat="1" applyFont="1"/>
    <xf numFmtId="0" fontId="16" fillId="7" borderId="17" xfId="0" applyFont="1" applyFill="1" applyBorder="1"/>
    <xf numFmtId="14" fontId="11" fillId="7" borderId="0" xfId="0" applyNumberFormat="1" applyFont="1" applyFill="1"/>
    <xf numFmtId="14" fontId="18" fillId="0" borderId="0" xfId="2" applyNumberFormat="1" applyFont="1"/>
    <xf numFmtId="0" fontId="11" fillId="6" borderId="0" xfId="0" applyFont="1" applyFill="1" applyAlignment="1">
      <alignment horizontal="center"/>
    </xf>
    <xf numFmtId="0" fontId="21" fillId="0" borderId="0" xfId="2" applyFont="1"/>
    <xf numFmtId="164" fontId="21" fillId="0" borderId="0" xfId="2" applyNumberFormat="1" applyFont="1"/>
    <xf numFmtId="0" fontId="21" fillId="0" borderId="0" xfId="0" applyFont="1"/>
    <xf numFmtId="0" fontId="10" fillId="0" borderId="0" xfId="0" applyFont="1"/>
    <xf numFmtId="0" fontId="7" fillId="7" borderId="18" xfId="0" applyFont="1" applyFill="1" applyBorder="1"/>
    <xf numFmtId="0" fontId="10" fillId="7" borderId="0" xfId="0" applyFont="1" applyFill="1"/>
    <xf numFmtId="0" fontId="21" fillId="7" borderId="0" xfId="0" applyFont="1" applyFill="1"/>
    <xf numFmtId="0" fontId="10" fillId="7" borderId="18" xfId="0" applyFont="1" applyFill="1" applyBorder="1"/>
    <xf numFmtId="0" fontId="16" fillId="9" borderId="0" xfId="0" applyFont="1" applyFill="1"/>
    <xf numFmtId="0" fontId="11" fillId="7" borderId="17" xfId="0" applyFont="1" applyFill="1" applyBorder="1" applyAlignment="1">
      <alignment horizontal="center"/>
    </xf>
    <xf numFmtId="0" fontId="20" fillId="7" borderId="0" xfId="0" applyFont="1" applyFill="1"/>
    <xf numFmtId="0" fontId="20" fillId="7" borderId="17" xfId="0" applyFont="1" applyFill="1" applyBorder="1"/>
    <xf numFmtId="0" fontId="16" fillId="7" borderId="0" xfId="0" applyFont="1" applyFill="1"/>
    <xf numFmtId="14" fontId="11" fillId="0" borderId="0" xfId="0" applyNumberFormat="1" applyFont="1"/>
    <xf numFmtId="0" fontId="7" fillId="9" borderId="20" xfId="0" applyFont="1" applyFill="1" applyBorder="1"/>
    <xf numFmtId="0" fontId="11" fillId="7" borderId="17" xfId="0" applyFont="1" applyFill="1" applyBorder="1" applyAlignment="1">
      <alignment wrapText="1"/>
    </xf>
    <xf numFmtId="0" fontId="35" fillId="7" borderId="17" xfId="0" applyFont="1" applyFill="1" applyBorder="1"/>
    <xf numFmtId="0" fontId="11" fillId="4" borderId="18" xfId="0" applyFont="1" applyFill="1" applyBorder="1"/>
    <xf numFmtId="0" fontId="16" fillId="4" borderId="5" xfId="2" applyFont="1" applyFill="1" applyBorder="1" applyAlignment="1">
      <alignment horizontal="left"/>
    </xf>
    <xf numFmtId="0" fontId="11" fillId="4" borderId="2" xfId="0" applyFont="1" applyFill="1" applyBorder="1"/>
    <xf numFmtId="0" fontId="11" fillId="4" borderId="4" xfId="0" applyFont="1" applyFill="1" applyBorder="1"/>
    <xf numFmtId="0" fontId="11" fillId="4" borderId="1" xfId="0" applyFont="1" applyFill="1" applyBorder="1"/>
    <xf numFmtId="14" fontId="11" fillId="4" borderId="1" xfId="0" applyNumberFormat="1" applyFont="1" applyFill="1" applyBorder="1" applyAlignment="1">
      <alignment horizontal="center"/>
    </xf>
    <xf numFmtId="169" fontId="11" fillId="4" borderId="0" xfId="0" applyNumberFormat="1" applyFont="1" applyFill="1"/>
    <xf numFmtId="0" fontId="28" fillId="4" borderId="17" xfId="0" applyFont="1" applyFill="1" applyBorder="1"/>
    <xf numFmtId="0" fontId="29" fillId="4" borderId="0" xfId="0" applyFont="1" applyFill="1"/>
    <xf numFmtId="0" fontId="29" fillId="4" borderId="17" xfId="0" applyFont="1" applyFill="1" applyBorder="1"/>
    <xf numFmtId="0" fontId="30" fillId="4" borderId="0" xfId="0" applyFont="1" applyFill="1"/>
    <xf numFmtId="14" fontId="29" fillId="4" borderId="0" xfId="0" applyNumberFormat="1" applyFont="1" applyFill="1"/>
    <xf numFmtId="0" fontId="23" fillId="7" borderId="17" xfId="0" applyFont="1" applyFill="1" applyBorder="1"/>
    <xf numFmtId="0" fontId="13" fillId="7" borderId="18" xfId="0" applyFont="1" applyFill="1" applyBorder="1"/>
    <xf numFmtId="0" fontId="13" fillId="10" borderId="14" xfId="0" applyFont="1" applyFill="1" applyBorder="1" applyAlignment="1">
      <alignment horizontal="center"/>
    </xf>
    <xf numFmtId="0" fontId="13" fillId="11" borderId="13" xfId="0" applyFont="1" applyFill="1" applyBorder="1" applyAlignment="1">
      <alignment horizontal="center"/>
    </xf>
    <xf numFmtId="0" fontId="13" fillId="0" borderId="13" xfId="0" applyFont="1" applyBorder="1" applyAlignment="1">
      <alignment horizontal="center"/>
    </xf>
    <xf numFmtId="0" fontId="13" fillId="12" borderId="13" xfId="0" applyFont="1" applyFill="1" applyBorder="1" applyAlignment="1">
      <alignment horizontal="center"/>
    </xf>
    <xf numFmtId="0" fontId="13" fillId="12" borderId="12" xfId="0" applyFont="1" applyFill="1" applyBorder="1" applyAlignment="1">
      <alignment horizontal="center"/>
    </xf>
    <xf numFmtId="0" fontId="13" fillId="0" borderId="19" xfId="0" applyFont="1" applyBorder="1"/>
    <xf numFmtId="0" fontId="13" fillId="0" borderId="13" xfId="0" applyFont="1" applyBorder="1"/>
    <xf numFmtId="0" fontId="13" fillId="0" borderId="12" xfId="0" applyFont="1" applyBorder="1" applyAlignment="1">
      <alignment horizontal="center"/>
    </xf>
    <xf numFmtId="0" fontId="13" fillId="0" borderId="0" xfId="0" applyFont="1"/>
    <xf numFmtId="0" fontId="16" fillId="11" borderId="13" xfId="0" applyFont="1" applyFill="1" applyBorder="1" applyAlignment="1">
      <alignment horizontal="center"/>
    </xf>
    <xf numFmtId="0" fontId="16" fillId="0" borderId="13" xfId="0" applyFont="1" applyBorder="1" applyAlignment="1">
      <alignment horizontal="center"/>
    </xf>
    <xf numFmtId="0" fontId="16" fillId="12" borderId="13" xfId="0" applyFont="1" applyFill="1" applyBorder="1" applyAlignment="1">
      <alignment horizontal="center"/>
    </xf>
    <xf numFmtId="0" fontId="16" fillId="12" borderId="12" xfId="0" applyFont="1" applyFill="1" applyBorder="1" applyAlignment="1">
      <alignment horizontal="center"/>
    </xf>
    <xf numFmtId="0" fontId="16" fillId="0" borderId="19" xfId="0" applyFont="1" applyBorder="1" applyAlignment="1">
      <alignment horizontal="center"/>
    </xf>
    <xf numFmtId="0" fontId="16" fillId="0" borderId="12" xfId="0" applyFont="1" applyBorder="1" applyAlignment="1">
      <alignment horizontal="center"/>
    </xf>
    <xf numFmtId="14" fontId="16" fillId="0" borderId="13" xfId="0" applyNumberFormat="1" applyFont="1" applyBorder="1" applyAlignment="1">
      <alignment horizontal="center"/>
    </xf>
    <xf numFmtId="0" fontId="16" fillId="0" borderId="0" xfId="0" applyFont="1" applyAlignment="1">
      <alignment horizontal="center"/>
    </xf>
    <xf numFmtId="0" fontId="11" fillId="11" borderId="0" xfId="0" applyFont="1" applyFill="1" applyAlignment="1">
      <alignment horizontal="center"/>
    </xf>
    <xf numFmtId="1" fontId="11" fillId="11" borderId="0" xfId="0" applyNumberFormat="1" applyFont="1" applyFill="1" applyAlignment="1">
      <alignment horizontal="center"/>
    </xf>
    <xf numFmtId="170" fontId="11" fillId="12" borderId="0" xfId="0" applyNumberFormat="1" applyFont="1" applyFill="1" applyAlignment="1">
      <alignment horizontal="center"/>
    </xf>
    <xf numFmtId="0" fontId="11" fillId="12" borderId="0" xfId="0" applyFont="1" applyFill="1" applyAlignment="1">
      <alignment horizontal="center"/>
    </xf>
    <xf numFmtId="0" fontId="11" fillId="12" borderId="15" xfId="0" applyFont="1" applyFill="1" applyBorder="1"/>
    <xf numFmtId="0" fontId="11" fillId="0" borderId="0" xfId="0" applyFont="1" applyAlignment="1">
      <alignment horizontal="center"/>
    </xf>
    <xf numFmtId="1" fontId="11" fillId="0" borderId="0" xfId="0" applyNumberFormat="1" applyFont="1" applyAlignment="1">
      <alignment horizontal="center"/>
    </xf>
    <xf numFmtId="1" fontId="11" fillId="0" borderId="15" xfId="0" applyNumberFormat="1" applyFont="1" applyBorder="1" applyAlignment="1">
      <alignment horizontal="center"/>
    </xf>
    <xf numFmtId="14" fontId="11" fillId="0" borderId="0" xfId="0" applyNumberFormat="1" applyFont="1" applyAlignment="1">
      <alignment horizontal="center"/>
    </xf>
    <xf numFmtId="0" fontId="7" fillId="7" borderId="25" xfId="0" applyFont="1" applyFill="1" applyBorder="1"/>
    <xf numFmtId="170" fontId="11" fillId="11" borderId="21" xfId="0" applyNumberFormat="1" applyFont="1" applyFill="1" applyBorder="1"/>
    <xf numFmtId="0" fontId="11" fillId="0" borderId="22" xfId="0" applyFont="1" applyBorder="1"/>
    <xf numFmtId="0" fontId="11" fillId="12" borderId="22" xfId="0" applyFont="1" applyFill="1" applyBorder="1"/>
    <xf numFmtId="0" fontId="11" fillId="12" borderId="23" xfId="0" applyFont="1" applyFill="1" applyBorder="1"/>
    <xf numFmtId="0" fontId="17" fillId="0" borderId="24" xfId="0" applyFont="1" applyBorder="1"/>
    <xf numFmtId="1" fontId="17" fillId="0" borderId="22" xfId="0" applyNumberFormat="1" applyFont="1" applyBorder="1"/>
    <xf numFmtId="0" fontId="11" fillId="0" borderId="21" xfId="0" applyFont="1" applyBorder="1"/>
    <xf numFmtId="170" fontId="25" fillId="0" borderId="0" xfId="0" applyNumberFormat="1" applyFont="1"/>
    <xf numFmtId="170" fontId="11" fillId="7" borderId="0" xfId="0" applyNumberFormat="1" applyFont="1" applyFill="1"/>
    <xf numFmtId="170" fontId="11" fillId="0" borderId="0" xfId="0" applyNumberFormat="1" applyFont="1"/>
    <xf numFmtId="0" fontId="17" fillId="0" borderId="0" xfId="0" applyFont="1"/>
    <xf numFmtId="1" fontId="17" fillId="0" borderId="0" xfId="0" applyNumberFormat="1" applyFont="1"/>
    <xf numFmtId="0" fontId="13" fillId="7" borderId="22" xfId="0" applyFont="1" applyFill="1" applyBorder="1"/>
    <xf numFmtId="0" fontId="13" fillId="7" borderId="24" xfId="0" applyFont="1" applyFill="1" applyBorder="1"/>
    <xf numFmtId="0" fontId="7" fillId="7" borderId="11" xfId="0" applyFont="1" applyFill="1" applyBorder="1"/>
    <xf numFmtId="0" fontId="7" fillId="7" borderId="26" xfId="0" applyFont="1" applyFill="1" applyBorder="1"/>
    <xf numFmtId="0" fontId="16" fillId="7" borderId="25" xfId="0" applyFont="1" applyFill="1" applyBorder="1" applyAlignment="1">
      <alignment horizontal="center"/>
    </xf>
    <xf numFmtId="0" fontId="16" fillId="7" borderId="22" xfId="0" applyFont="1" applyFill="1" applyBorder="1" applyAlignment="1">
      <alignment horizontal="center"/>
    </xf>
    <xf numFmtId="0" fontId="16" fillId="7" borderId="24" xfId="0" applyFont="1" applyFill="1" applyBorder="1" applyAlignment="1">
      <alignment horizontal="center"/>
    </xf>
    <xf numFmtId="0" fontId="11" fillId="7" borderId="18" xfId="0" applyFont="1" applyFill="1" applyBorder="1" applyAlignment="1">
      <alignment horizontal="center"/>
    </xf>
    <xf numFmtId="0" fontId="22" fillId="7" borderId="36" xfId="0" applyFont="1" applyFill="1" applyBorder="1" applyAlignment="1">
      <alignment horizontal="center"/>
    </xf>
    <xf numFmtId="0" fontId="11" fillId="7" borderId="21" xfId="0" applyFont="1" applyFill="1" applyBorder="1"/>
    <xf numFmtId="0" fontId="7" fillId="7" borderId="21" xfId="0" applyFont="1" applyFill="1" applyBorder="1"/>
    <xf numFmtId="0" fontId="11" fillId="7" borderId="35" xfId="0" applyFont="1" applyFill="1" applyBorder="1"/>
    <xf numFmtId="0" fontId="26" fillId="7" borderId="0" xfId="2" applyFont="1" applyFill="1"/>
    <xf numFmtId="0" fontId="16" fillId="7" borderId="0" xfId="2" applyFont="1" applyFill="1" applyAlignment="1">
      <alignment vertical="center" wrapText="1"/>
    </xf>
    <xf numFmtId="49" fontId="11" fillId="7" borderId="0" xfId="2" applyNumberFormat="1" applyFont="1" applyFill="1" applyAlignment="1">
      <alignment horizontal="left" vertical="top" wrapText="1"/>
    </xf>
    <xf numFmtId="14" fontId="11" fillId="7" borderId="1" xfId="0" applyNumberFormat="1" applyFont="1" applyFill="1" applyBorder="1" applyAlignment="1" applyProtection="1">
      <alignment horizontal="center"/>
      <protection locked="0"/>
    </xf>
    <xf numFmtId="0" fontId="0" fillId="0" borderId="1" xfId="0" applyBorder="1"/>
    <xf numFmtId="0" fontId="0" fillId="3" borderId="1" xfId="0" applyFill="1" applyBorder="1"/>
    <xf numFmtId="3" fontId="0" fillId="0" borderId="1" xfId="0" applyNumberFormat="1" applyBorder="1"/>
    <xf numFmtId="0" fontId="0" fillId="2" borderId="1" xfId="0" applyFill="1" applyBorder="1"/>
    <xf numFmtId="0" fontId="0" fillId="3" borderId="0" xfId="0" applyFill="1"/>
    <xf numFmtId="0" fontId="7" fillId="3" borderId="0" xfId="0" applyFont="1" applyFill="1" applyAlignment="1">
      <alignment wrapText="1"/>
    </xf>
    <xf numFmtId="0" fontId="0" fillId="13" borderId="37" xfId="0" applyFill="1" applyBorder="1"/>
    <xf numFmtId="0" fontId="0" fillId="13" borderId="38" xfId="0" applyFill="1" applyBorder="1"/>
    <xf numFmtId="0" fontId="0" fillId="13" borderId="39" xfId="0" applyFill="1" applyBorder="1"/>
    <xf numFmtId="0" fontId="0" fillId="13" borderId="40" xfId="0" applyFill="1" applyBorder="1"/>
    <xf numFmtId="0" fontId="7" fillId="7" borderId="41" xfId="0" applyFont="1" applyFill="1" applyBorder="1" applyAlignment="1">
      <alignment horizontal="left" vertical="top" wrapText="1"/>
    </xf>
    <xf numFmtId="0" fontId="0" fillId="13" borderId="42" xfId="0" applyFill="1" applyBorder="1"/>
    <xf numFmtId="0" fontId="7" fillId="7" borderId="43" xfId="0" applyFont="1" applyFill="1" applyBorder="1" applyAlignment="1">
      <alignment horizontal="left" vertical="top" wrapText="1"/>
    </xf>
    <xf numFmtId="0" fontId="7" fillId="7" borderId="44" xfId="0" applyFont="1" applyFill="1" applyBorder="1" applyAlignment="1">
      <alignment horizontal="left" vertical="top" wrapText="1"/>
    </xf>
    <xf numFmtId="14" fontId="15" fillId="4" borderId="1" xfId="0" applyNumberFormat="1" applyFont="1" applyFill="1" applyBorder="1" applyAlignment="1">
      <alignment horizontal="center"/>
    </xf>
    <xf numFmtId="14" fontId="29" fillId="4" borderId="1" xfId="0" applyNumberFormat="1" applyFont="1" applyFill="1" applyBorder="1"/>
    <xf numFmtId="14" fontId="30" fillId="4" borderId="0" xfId="0" applyNumberFormat="1" applyFont="1" applyFill="1"/>
    <xf numFmtId="173" fontId="11" fillId="0" borderId="0" xfId="0" applyNumberFormat="1" applyFont="1" applyAlignment="1">
      <alignment horizontal="center"/>
    </xf>
    <xf numFmtId="174" fontId="11" fillId="0" borderId="0" xfId="0" applyNumberFormat="1" applyFont="1" applyAlignment="1">
      <alignment horizontal="center"/>
    </xf>
    <xf numFmtId="0" fontId="7" fillId="4" borderId="17" xfId="0" applyFont="1" applyFill="1" applyBorder="1"/>
    <xf numFmtId="0" fontId="28" fillId="4" borderId="0" xfId="0" applyFont="1" applyFill="1" applyAlignment="1">
      <alignment horizontal="center"/>
    </xf>
    <xf numFmtId="0" fontId="38" fillId="4" borderId="0" xfId="0" applyFont="1" applyFill="1" applyAlignment="1">
      <alignment horizontal="center"/>
    </xf>
    <xf numFmtId="2" fontId="11" fillId="0" borderId="0" xfId="0" applyNumberFormat="1" applyFont="1" applyAlignment="1">
      <alignment horizontal="center"/>
    </xf>
    <xf numFmtId="0" fontId="17" fillId="7" borderId="0" xfId="12" applyFont="1" applyFill="1" applyBorder="1" applyAlignment="1" applyProtection="1">
      <alignment horizontal="left"/>
      <protection locked="0"/>
    </xf>
    <xf numFmtId="0" fontId="17" fillId="7" borderId="10" xfId="12" applyFont="1" applyFill="1" applyBorder="1" applyAlignment="1" applyProtection="1">
      <alignment horizontal="left"/>
      <protection locked="0"/>
    </xf>
    <xf numFmtId="0" fontId="17" fillId="7" borderId="8" xfId="12" applyFont="1" applyFill="1" applyBorder="1" applyAlignment="1" applyProtection="1">
      <alignment horizontal="left"/>
      <protection locked="0"/>
    </xf>
    <xf numFmtId="0" fontId="17" fillId="7" borderId="46" xfId="12" applyFont="1" applyFill="1" applyBorder="1" applyAlignment="1" applyProtection="1">
      <alignment horizontal="left"/>
      <protection locked="0"/>
    </xf>
    <xf numFmtId="0" fontId="16" fillId="0" borderId="0" xfId="0" applyFont="1"/>
    <xf numFmtId="1" fontId="11" fillId="15" borderId="0" xfId="0" applyNumberFormat="1" applyFont="1" applyFill="1" applyAlignment="1">
      <alignment horizontal="center"/>
    </xf>
    <xf numFmtId="170" fontId="25" fillId="15" borderId="3" xfId="0" applyNumberFormat="1" applyFont="1" applyFill="1" applyBorder="1"/>
    <xf numFmtId="1" fontId="11" fillId="11" borderId="18" xfId="0" applyNumberFormat="1" applyFont="1" applyFill="1" applyBorder="1" applyAlignment="1">
      <alignment horizontal="center"/>
    </xf>
    <xf numFmtId="170" fontId="25" fillId="11" borderId="35" xfId="0" applyNumberFormat="1" applyFont="1" applyFill="1" applyBorder="1"/>
    <xf numFmtId="0" fontId="30" fillId="16" borderId="0" xfId="0" applyFont="1" applyFill="1"/>
    <xf numFmtId="0" fontId="7" fillId="16" borderId="18" xfId="0" applyFont="1" applyFill="1" applyBorder="1"/>
    <xf numFmtId="0" fontId="30" fillId="16" borderId="17" xfId="0" applyFont="1" applyFill="1" applyBorder="1"/>
    <xf numFmtId="0" fontId="7" fillId="16" borderId="0" xfId="0" applyFont="1" applyFill="1"/>
    <xf numFmtId="0" fontId="7" fillId="15" borderId="0" xfId="0" applyFont="1" applyFill="1"/>
    <xf numFmtId="0" fontId="40" fillId="16" borderId="17" xfId="0" applyFont="1" applyFill="1" applyBorder="1"/>
    <xf numFmtId="0" fontId="41" fillId="16" borderId="17" xfId="0" applyFont="1" applyFill="1" applyBorder="1"/>
    <xf numFmtId="0" fontId="7" fillId="16" borderId="17" xfId="0" applyFont="1" applyFill="1" applyBorder="1"/>
    <xf numFmtId="14" fontId="30" fillId="16" borderId="0" xfId="0" applyNumberFormat="1" applyFont="1" applyFill="1"/>
    <xf numFmtId="14" fontId="18" fillId="4" borderId="0" xfId="0" applyNumberFormat="1" applyFont="1" applyFill="1"/>
    <xf numFmtId="14" fontId="18" fillId="4" borderId="18" xfId="0" applyNumberFormat="1" applyFont="1" applyFill="1" applyBorder="1"/>
    <xf numFmtId="1" fontId="11" fillId="15" borderId="14" xfId="0" applyNumberFormat="1" applyFont="1" applyFill="1" applyBorder="1" applyAlignment="1">
      <alignment horizontal="center"/>
    </xf>
    <xf numFmtId="0" fontId="7" fillId="15" borderId="12" xfId="0" applyFont="1" applyFill="1" applyBorder="1"/>
    <xf numFmtId="1" fontId="11" fillId="15" borderId="13" xfId="0" applyNumberFormat="1" applyFont="1" applyFill="1" applyBorder="1" applyAlignment="1">
      <alignment horizontal="center"/>
    </xf>
    <xf numFmtId="14" fontId="29" fillId="4" borderId="0" xfId="0" applyNumberFormat="1" applyFont="1" applyFill="1" applyAlignment="1">
      <alignment horizontal="center"/>
    </xf>
    <xf numFmtId="0" fontId="42" fillId="4" borderId="17" xfId="0" applyFont="1" applyFill="1" applyBorder="1"/>
    <xf numFmtId="0" fontId="29" fillId="4" borderId="14" xfId="0" applyFont="1" applyFill="1" applyBorder="1"/>
    <xf numFmtId="14" fontId="29" fillId="4" borderId="13" xfId="0" applyNumberFormat="1" applyFont="1" applyFill="1" applyBorder="1"/>
    <xf numFmtId="14" fontId="28" fillId="4" borderId="0" xfId="0" applyNumberFormat="1" applyFont="1" applyFill="1"/>
    <xf numFmtId="0" fontId="11" fillId="7" borderId="48" xfId="0" applyFont="1" applyFill="1" applyBorder="1"/>
    <xf numFmtId="0" fontId="11" fillId="7" borderId="47" xfId="0" applyFont="1" applyFill="1" applyBorder="1"/>
    <xf numFmtId="170" fontId="16" fillId="7" borderId="47" xfId="2" applyNumberFormat="1" applyFont="1" applyFill="1" applyBorder="1" applyAlignment="1">
      <alignment horizontal="center"/>
    </xf>
    <xf numFmtId="0" fontId="8" fillId="7" borderId="47" xfId="0" applyFont="1" applyFill="1" applyBorder="1" applyAlignment="1">
      <alignment horizontal="center"/>
    </xf>
    <xf numFmtId="170" fontId="11" fillId="8" borderId="1" xfId="0" applyNumberFormat="1" applyFont="1" applyFill="1" applyBorder="1" applyProtection="1">
      <protection locked="0"/>
    </xf>
    <xf numFmtId="0" fontId="11" fillId="7" borderId="17" xfId="0" applyFont="1" applyFill="1" applyBorder="1" applyAlignment="1" applyProtection="1">
      <alignment horizontal="center"/>
      <protection locked="0"/>
    </xf>
    <xf numFmtId="14" fontId="28" fillId="4" borderId="20" xfId="0" applyNumberFormat="1" applyFont="1" applyFill="1" applyBorder="1"/>
    <xf numFmtId="14" fontId="11" fillId="14" borderId="2" xfId="0" applyNumberFormat="1" applyFont="1" applyFill="1" applyBorder="1" applyAlignment="1" applyProtection="1">
      <alignment horizontal="center"/>
      <protection locked="0"/>
    </xf>
    <xf numFmtId="0" fontId="43" fillId="17" borderId="17" xfId="0" applyFont="1" applyFill="1" applyBorder="1" applyAlignment="1" applyProtection="1">
      <alignment horizontal="center"/>
      <protection locked="0"/>
    </xf>
    <xf numFmtId="0" fontId="43" fillId="7" borderId="17" xfId="0" applyFont="1" applyFill="1" applyBorder="1" applyAlignment="1" applyProtection="1">
      <alignment horizontal="center"/>
      <protection locked="0"/>
    </xf>
    <xf numFmtId="0" fontId="25" fillId="15" borderId="3" xfId="0" applyFont="1" applyFill="1" applyBorder="1"/>
    <xf numFmtId="170" fontId="25" fillId="15" borderId="0" xfId="0" applyNumberFormat="1" applyFont="1" applyFill="1"/>
    <xf numFmtId="0" fontId="25" fillId="15" borderId="0" xfId="0" applyFont="1" applyFill="1"/>
    <xf numFmtId="0" fontId="11" fillId="15" borderId="0" xfId="0" applyFont="1" applyFill="1"/>
    <xf numFmtId="170" fontId="11" fillId="15" borderId="0" xfId="0" applyNumberFormat="1" applyFont="1" applyFill="1"/>
    <xf numFmtId="0" fontId="11" fillId="7" borderId="1" xfId="2" applyFont="1" applyFill="1" applyBorder="1" applyAlignment="1">
      <alignment horizontal="left"/>
    </xf>
    <xf numFmtId="14" fontId="11" fillId="17" borderId="18" xfId="0" applyNumberFormat="1" applyFont="1" applyFill="1" applyBorder="1" applyAlignment="1" applyProtection="1">
      <alignment horizontal="center"/>
      <protection locked="0"/>
    </xf>
    <xf numFmtId="14" fontId="11" fillId="14" borderId="1" xfId="0" applyNumberFormat="1" applyFont="1" applyFill="1" applyBorder="1" applyAlignment="1" applyProtection="1">
      <alignment horizontal="center"/>
      <protection locked="0"/>
    </xf>
    <xf numFmtId="14" fontId="11" fillId="17" borderId="10" xfId="0" applyNumberFormat="1" applyFont="1" applyFill="1" applyBorder="1" applyAlignment="1" applyProtection="1">
      <alignment horizontal="center"/>
      <protection locked="0"/>
    </xf>
    <xf numFmtId="0" fontId="0" fillId="0" borderId="0" xfId="0" applyAlignment="1">
      <alignment horizontal="center"/>
    </xf>
    <xf numFmtId="0" fontId="50" fillId="0" borderId="0" xfId="0" applyFont="1" applyAlignment="1">
      <alignment horizontal="center"/>
    </xf>
    <xf numFmtId="0" fontId="48" fillId="0" borderId="0" xfId="0" applyFont="1" applyAlignment="1">
      <alignment horizontal="center"/>
    </xf>
    <xf numFmtId="0" fontId="49" fillId="0" borderId="0" xfId="0" applyFont="1" applyAlignment="1">
      <alignment horizontal="center"/>
    </xf>
    <xf numFmtId="14" fontId="0" fillId="0" borderId="0" xfId="0" applyNumberFormat="1" applyAlignment="1">
      <alignment horizontal="center"/>
    </xf>
    <xf numFmtId="0" fontId="0" fillId="0" borderId="18" xfId="0" applyBorder="1" applyAlignment="1">
      <alignment horizontal="center"/>
    </xf>
    <xf numFmtId="0" fontId="50" fillId="0" borderId="18" xfId="0" applyFont="1" applyBorder="1" applyAlignment="1">
      <alignment horizontal="center"/>
    </xf>
    <xf numFmtId="0" fontId="48" fillId="0" borderId="18" xfId="0" applyFont="1" applyBorder="1" applyAlignment="1">
      <alignment horizontal="center"/>
    </xf>
    <xf numFmtId="14" fontId="0" fillId="0" borderId="18" xfId="0" applyNumberFormat="1" applyBorder="1" applyAlignment="1">
      <alignment horizontal="center"/>
    </xf>
    <xf numFmtId="0" fontId="0" fillId="7" borderId="0" xfId="0" applyFill="1" applyAlignment="1">
      <alignment horizontal="left"/>
    </xf>
    <xf numFmtId="0" fontId="0" fillId="7" borderId="0" xfId="0" applyFill="1" applyAlignment="1">
      <alignment horizontal="center"/>
    </xf>
    <xf numFmtId="0" fontId="0" fillId="7" borderId="0" xfId="0" quotePrefix="1" applyFill="1" applyAlignment="1">
      <alignment horizontal="center"/>
    </xf>
    <xf numFmtId="0" fontId="50" fillId="7" borderId="0" xfId="0" applyFont="1" applyFill="1" applyAlignment="1">
      <alignment horizontal="center"/>
    </xf>
    <xf numFmtId="0" fontId="48" fillId="7" borderId="0" xfId="0" applyFont="1" applyFill="1" applyAlignment="1">
      <alignment horizontal="center"/>
    </xf>
    <xf numFmtId="14" fontId="0" fillId="7" borderId="0" xfId="0" applyNumberFormat="1" applyFill="1" applyAlignment="1">
      <alignment horizontal="center"/>
    </xf>
    <xf numFmtId="14" fontId="48" fillId="0" borderId="0" xfId="0" applyNumberFormat="1" applyFont="1" applyAlignment="1" applyProtection="1">
      <alignment horizontal="center"/>
      <protection locked="0"/>
    </xf>
    <xf numFmtId="0" fontId="32" fillId="4" borderId="0" xfId="0" applyFont="1" applyFill="1"/>
    <xf numFmtId="0" fontId="7" fillId="4" borderId="0" xfId="0" applyFont="1" applyFill="1" applyAlignment="1">
      <alignment horizontal="left"/>
    </xf>
    <xf numFmtId="14" fontId="7" fillId="4" borderId="0" xfId="0" applyNumberFormat="1" applyFont="1" applyFill="1" applyAlignment="1">
      <alignment horizontal="left"/>
    </xf>
    <xf numFmtId="14" fontId="11" fillId="4" borderId="0" xfId="2" applyNumberFormat="1" applyFont="1" applyFill="1" applyAlignment="1">
      <alignment horizontal="left"/>
    </xf>
    <xf numFmtId="0" fontId="7" fillId="4" borderId="0" xfId="0" applyFont="1" applyFill="1" applyAlignment="1">
      <alignment horizontal="left" wrapText="1"/>
    </xf>
    <xf numFmtId="1" fontId="0" fillId="0" borderId="1" xfId="0" applyNumberFormat="1" applyBorder="1"/>
    <xf numFmtId="0" fontId="36" fillId="20" borderId="17" xfId="0" applyFont="1" applyFill="1" applyBorder="1"/>
    <xf numFmtId="0" fontId="7" fillId="20" borderId="0" xfId="0" applyFont="1" applyFill="1"/>
    <xf numFmtId="0" fontId="7" fillId="20" borderId="18" xfId="0" applyFont="1" applyFill="1" applyBorder="1"/>
    <xf numFmtId="0" fontId="7" fillId="20" borderId="17" xfId="0" applyFont="1" applyFill="1" applyBorder="1"/>
    <xf numFmtId="0" fontId="7" fillId="4" borderId="0" xfId="0" applyFont="1" applyFill="1" applyAlignment="1">
      <alignment horizontal="center"/>
    </xf>
    <xf numFmtId="14" fontId="7" fillId="4" borderId="0" xfId="0" applyNumberFormat="1" applyFont="1" applyFill="1" applyAlignment="1">
      <alignment horizontal="center"/>
    </xf>
    <xf numFmtId="0" fontId="7" fillId="20" borderId="0" xfId="0" applyFont="1" applyFill="1" applyAlignment="1">
      <alignment horizontal="center"/>
    </xf>
    <xf numFmtId="2" fontId="7" fillId="4" borderId="0" xfId="0" applyNumberFormat="1" applyFont="1" applyFill="1" applyAlignment="1">
      <alignment horizontal="center"/>
    </xf>
    <xf numFmtId="14" fontId="52" fillId="20" borderId="0" xfId="0" applyNumberFormat="1" applyFont="1" applyFill="1"/>
    <xf numFmtId="0" fontId="37" fillId="18" borderId="16" xfId="0" applyFont="1" applyFill="1" applyBorder="1" applyAlignment="1">
      <alignment horizontal="left"/>
    </xf>
    <xf numFmtId="0" fontId="0" fillId="18" borderId="0" xfId="0" applyFill="1" applyAlignment="1">
      <alignment horizontal="left"/>
    </xf>
    <xf numFmtId="0" fontId="0" fillId="0" borderId="0" xfId="0" applyAlignment="1">
      <alignment horizontal="left"/>
    </xf>
    <xf numFmtId="0" fontId="0" fillId="0" borderId="18" xfId="0" applyBorder="1" applyAlignment="1">
      <alignment horizontal="left"/>
    </xf>
    <xf numFmtId="0" fontId="2" fillId="18" borderId="49" xfId="0" applyFont="1" applyFill="1" applyBorder="1" applyAlignment="1">
      <alignment horizontal="center"/>
    </xf>
    <xf numFmtId="14" fontId="0" fillId="18" borderId="0" xfId="0" applyNumberFormat="1" applyFill="1" applyAlignment="1">
      <alignment horizontal="center"/>
    </xf>
    <xf numFmtId="0" fontId="2" fillId="18" borderId="18" xfId="0" applyFont="1" applyFill="1" applyBorder="1" applyAlignment="1">
      <alignment horizontal="center"/>
    </xf>
    <xf numFmtId="0" fontId="0" fillId="0" borderId="0" xfId="0" quotePrefix="1" applyAlignment="1">
      <alignment horizontal="center"/>
    </xf>
    <xf numFmtId="14" fontId="51" fillId="19" borderId="0" xfId="0" applyNumberFormat="1" applyFont="1" applyFill="1" applyAlignment="1">
      <alignment horizontal="center"/>
    </xf>
    <xf numFmtId="0" fontId="37" fillId="18" borderId="49" xfId="0" applyFont="1" applyFill="1" applyBorder="1" applyAlignment="1">
      <alignment horizontal="left"/>
    </xf>
    <xf numFmtId="0" fontId="7" fillId="18" borderId="0" xfId="0" applyFont="1" applyFill="1"/>
    <xf numFmtId="2" fontId="7" fillId="0" borderId="0" xfId="0" applyNumberFormat="1" applyFont="1"/>
    <xf numFmtId="0" fontId="50" fillId="18" borderId="18" xfId="0" applyFont="1" applyFill="1" applyBorder="1" applyAlignment="1">
      <alignment horizontal="center"/>
    </xf>
    <xf numFmtId="0" fontId="7" fillId="7" borderId="0" xfId="0" applyFont="1" applyFill="1" applyProtection="1">
      <protection locked="0"/>
    </xf>
    <xf numFmtId="0" fontId="7" fillId="7" borderId="17" xfId="0" applyFont="1" applyFill="1" applyBorder="1" applyAlignment="1">
      <alignment horizontal="center" wrapText="1"/>
    </xf>
    <xf numFmtId="0" fontId="7" fillId="7" borderId="0" xfId="0" applyFont="1" applyFill="1" applyAlignment="1">
      <alignment horizontal="center" wrapText="1"/>
    </xf>
    <xf numFmtId="0" fontId="7" fillId="7" borderId="18" xfId="0" applyFont="1" applyFill="1" applyBorder="1" applyAlignment="1">
      <alignment horizontal="center" wrapText="1"/>
    </xf>
    <xf numFmtId="0" fontId="8" fillId="0" borderId="0" xfId="0" applyFont="1"/>
    <xf numFmtId="4" fontId="15" fillId="0" borderId="0" xfId="2" applyNumberFormat="1" applyFont="1"/>
    <xf numFmtId="14" fontId="54" fillId="18" borderId="0" xfId="0" applyNumberFormat="1" applyFont="1" applyFill="1" applyAlignment="1">
      <alignment horizontal="center"/>
    </xf>
    <xf numFmtId="1" fontId="11" fillId="4" borderId="0" xfId="0" applyNumberFormat="1" applyFont="1" applyFill="1"/>
    <xf numFmtId="14" fontId="11" fillId="4" borderId="17" xfId="0" applyNumberFormat="1" applyFont="1" applyFill="1" applyBorder="1"/>
    <xf numFmtId="0" fontId="16" fillId="10" borderId="12" xfId="0" applyFont="1" applyFill="1" applyBorder="1" applyAlignment="1">
      <alignment horizontal="center"/>
    </xf>
    <xf numFmtId="0" fontId="11" fillId="10" borderId="0" xfId="0" applyFont="1" applyFill="1" applyAlignment="1">
      <alignment horizontal="center"/>
    </xf>
    <xf numFmtId="0" fontId="11" fillId="10" borderId="24" xfId="0" applyFont="1" applyFill="1" applyBorder="1"/>
    <xf numFmtId="0" fontId="0" fillId="21" borderId="1" xfId="0" applyFill="1" applyBorder="1"/>
    <xf numFmtId="170" fontId="25" fillId="22" borderId="3" xfId="0" applyNumberFormat="1" applyFont="1" applyFill="1" applyBorder="1"/>
    <xf numFmtId="168" fontId="7" fillId="15" borderId="0" xfId="0" applyNumberFormat="1" applyFont="1" applyFill="1"/>
    <xf numFmtId="0" fontId="12" fillId="8" borderId="1" xfId="2" applyFont="1" applyFill="1" applyBorder="1" applyAlignment="1">
      <alignment horizontal="center"/>
    </xf>
    <xf numFmtId="49" fontId="11" fillId="8" borderId="7" xfId="2" applyNumberFormat="1" applyFont="1" applyFill="1" applyBorder="1" applyAlignment="1" applyProtection="1">
      <alignment horizontal="center" vertical="top" wrapText="1"/>
      <protection locked="0"/>
    </xf>
    <xf numFmtId="49" fontId="11" fillId="8" borderId="3" xfId="2" applyNumberFormat="1" applyFont="1" applyFill="1" applyBorder="1" applyAlignment="1" applyProtection="1">
      <alignment horizontal="center" vertical="top" wrapText="1"/>
      <protection locked="0"/>
    </xf>
    <xf numFmtId="49" fontId="11" fillId="8" borderId="10" xfId="2" applyNumberFormat="1" applyFont="1" applyFill="1" applyBorder="1" applyAlignment="1" applyProtection="1">
      <alignment horizontal="center" vertical="top" wrapText="1"/>
      <protection locked="0"/>
    </xf>
    <xf numFmtId="49" fontId="11" fillId="8" borderId="17" xfId="2" applyNumberFormat="1" applyFont="1" applyFill="1" applyBorder="1" applyAlignment="1" applyProtection="1">
      <alignment horizontal="center" vertical="top" wrapText="1"/>
      <protection locked="0"/>
    </xf>
    <xf numFmtId="49" fontId="11" fillId="8" borderId="0" xfId="2" applyNumberFormat="1" applyFont="1" applyFill="1" applyAlignment="1" applyProtection="1">
      <alignment horizontal="center" vertical="top" wrapText="1"/>
      <protection locked="0"/>
    </xf>
    <xf numFmtId="49" fontId="11" fillId="8" borderId="18" xfId="2" applyNumberFormat="1" applyFont="1" applyFill="1" applyBorder="1" applyAlignment="1" applyProtection="1">
      <alignment horizontal="center" vertical="top" wrapText="1"/>
      <protection locked="0"/>
    </xf>
    <xf numFmtId="49" fontId="11" fillId="8" borderId="6" xfId="2" applyNumberFormat="1" applyFont="1" applyFill="1" applyBorder="1" applyAlignment="1" applyProtection="1">
      <alignment horizontal="center" vertical="top" wrapText="1"/>
      <protection locked="0"/>
    </xf>
    <xf numFmtId="49" fontId="11" fillId="8" borderId="8" xfId="2" applyNumberFormat="1" applyFont="1" applyFill="1" applyBorder="1" applyAlignment="1" applyProtection="1">
      <alignment horizontal="center" vertical="top" wrapText="1"/>
      <protection locked="0"/>
    </xf>
    <xf numFmtId="49" fontId="11" fillId="8" borderId="9" xfId="2" applyNumberFormat="1" applyFont="1" applyFill="1" applyBorder="1" applyAlignment="1" applyProtection="1">
      <alignment horizontal="center" vertical="top" wrapText="1"/>
      <protection locked="0"/>
    </xf>
    <xf numFmtId="0" fontId="7" fillId="7" borderId="5" xfId="0" applyFont="1" applyFill="1" applyBorder="1" applyAlignment="1">
      <alignment horizontal="center"/>
    </xf>
    <xf numFmtId="0" fontId="7" fillId="7" borderId="2" xfId="0" applyFont="1" applyFill="1" applyBorder="1" applyAlignment="1">
      <alignment horizontal="center"/>
    </xf>
    <xf numFmtId="0" fontId="7" fillId="7" borderId="4" xfId="0" applyFont="1" applyFill="1" applyBorder="1" applyAlignment="1">
      <alignment horizontal="center"/>
    </xf>
    <xf numFmtId="0" fontId="13" fillId="8" borderId="5" xfId="2" applyFont="1" applyFill="1" applyBorder="1" applyAlignment="1" applyProtection="1">
      <alignment horizontal="center"/>
      <protection locked="0"/>
    </xf>
    <xf numFmtId="0" fontId="13" fillId="8" borderId="4" xfId="2" applyFont="1" applyFill="1" applyBorder="1" applyAlignment="1" applyProtection="1">
      <alignment horizontal="center"/>
      <protection locked="0"/>
    </xf>
    <xf numFmtId="0" fontId="15" fillId="7" borderId="0" xfId="2" applyFont="1" applyFill="1" applyAlignment="1">
      <alignment horizontal="center"/>
    </xf>
    <xf numFmtId="0" fontId="11" fillId="7" borderId="17" xfId="0" applyFont="1" applyFill="1" applyBorder="1" applyAlignment="1">
      <alignment horizontal="center" wrapText="1"/>
    </xf>
    <xf numFmtId="0" fontId="11" fillId="7" borderId="0" xfId="0" applyFont="1" applyFill="1" applyAlignment="1">
      <alignment horizontal="center" wrapText="1"/>
    </xf>
    <xf numFmtId="0" fontId="11" fillId="7" borderId="18" xfId="0" applyFont="1" applyFill="1" applyBorder="1" applyAlignment="1">
      <alignment horizontal="center" wrapText="1"/>
    </xf>
    <xf numFmtId="0" fontId="16" fillId="7" borderId="22" xfId="0" applyFont="1" applyFill="1" applyBorder="1" applyAlignment="1">
      <alignment horizontal="center"/>
    </xf>
    <xf numFmtId="0" fontId="16" fillId="7" borderId="23" xfId="0" applyFont="1" applyFill="1" applyBorder="1" applyAlignment="1">
      <alignment horizontal="center"/>
    </xf>
    <xf numFmtId="0" fontId="11" fillId="7" borderId="7" xfId="0" applyFont="1" applyFill="1" applyBorder="1" applyAlignment="1">
      <alignment horizontal="center" wrapText="1"/>
    </xf>
    <xf numFmtId="0" fontId="11" fillId="7" borderId="3" xfId="0" applyFont="1" applyFill="1" applyBorder="1" applyAlignment="1">
      <alignment horizontal="center" wrapText="1"/>
    </xf>
    <xf numFmtId="0" fontId="11" fillId="7" borderId="10" xfId="0" applyFont="1" applyFill="1" applyBorder="1" applyAlignment="1">
      <alignment horizontal="center" wrapText="1"/>
    </xf>
    <xf numFmtId="0" fontId="11" fillId="7" borderId="6" xfId="0" applyFont="1" applyFill="1" applyBorder="1" applyAlignment="1">
      <alignment horizontal="center" wrapText="1"/>
    </xf>
    <xf numFmtId="0" fontId="11" fillId="7" borderId="8" xfId="0" applyFont="1" applyFill="1" applyBorder="1" applyAlignment="1">
      <alignment horizontal="center" wrapText="1"/>
    </xf>
    <xf numFmtId="0" fontId="11" fillId="7" borderId="9" xfId="0" applyFont="1" applyFill="1" applyBorder="1" applyAlignment="1">
      <alignment horizontal="center" wrapText="1"/>
    </xf>
    <xf numFmtId="0" fontId="26" fillId="7" borderId="17" xfId="2" applyFont="1" applyFill="1" applyBorder="1" applyAlignment="1">
      <alignment horizontal="center" vertical="center" wrapText="1"/>
    </xf>
    <xf numFmtId="0" fontId="26" fillId="7" borderId="0" xfId="2" applyFont="1" applyFill="1" applyAlignment="1">
      <alignment horizontal="center" vertical="center" wrapText="1"/>
    </xf>
    <xf numFmtId="0" fontId="26" fillId="7" borderId="18" xfId="2" applyFont="1" applyFill="1" applyBorder="1" applyAlignment="1">
      <alignment horizontal="center" vertical="center" wrapText="1"/>
    </xf>
    <xf numFmtId="0" fontId="11" fillId="7" borderId="0" xfId="0" applyFont="1" applyFill="1" applyAlignment="1" applyProtection="1">
      <alignment horizontal="center"/>
      <protection locked="0"/>
    </xf>
    <xf numFmtId="0" fontId="11" fillId="7" borderId="15" xfId="0" applyFont="1" applyFill="1" applyBorder="1" applyAlignment="1" applyProtection="1">
      <alignment horizontal="center"/>
      <protection locked="0"/>
    </xf>
    <xf numFmtId="0" fontId="32" fillId="7" borderId="28" xfId="0" applyFont="1" applyFill="1" applyBorder="1" applyAlignment="1">
      <alignment horizontal="center"/>
    </xf>
    <xf numFmtId="0" fontId="32" fillId="7" borderId="11" xfId="0" applyFont="1" applyFill="1" applyBorder="1" applyAlignment="1">
      <alignment horizontal="center"/>
    </xf>
    <xf numFmtId="0" fontId="11" fillId="7" borderId="18" xfId="0" applyFont="1" applyFill="1" applyBorder="1" applyAlignment="1" applyProtection="1">
      <alignment horizontal="center"/>
      <protection locked="0"/>
    </xf>
    <xf numFmtId="0" fontId="9" fillId="7" borderId="17" xfId="0" applyFont="1" applyFill="1" applyBorder="1" applyAlignment="1">
      <alignment horizontal="center" wrapText="1"/>
    </xf>
    <xf numFmtId="0" fontId="9" fillId="7" borderId="0" xfId="0" applyFont="1" applyFill="1" applyAlignment="1">
      <alignment horizontal="center" wrapText="1"/>
    </xf>
    <xf numFmtId="0" fontId="9" fillId="7" borderId="18" xfId="0" applyFont="1" applyFill="1" applyBorder="1" applyAlignment="1">
      <alignment horizontal="center" wrapText="1"/>
    </xf>
    <xf numFmtId="0" fontId="25" fillId="7" borderId="17" xfId="2" applyFont="1" applyFill="1" applyBorder="1" applyAlignment="1">
      <alignment horizontal="left"/>
    </xf>
    <xf numFmtId="0" fontId="25" fillId="7" borderId="0" xfId="2" applyFont="1" applyFill="1" applyAlignment="1">
      <alignment horizontal="left"/>
    </xf>
    <xf numFmtId="0" fontId="29" fillId="4" borderId="0" xfId="0" applyFont="1" applyFill="1" applyAlignment="1">
      <alignment horizontal="center"/>
    </xf>
    <xf numFmtId="0" fontId="7" fillId="7" borderId="7" xfId="0" applyFont="1" applyFill="1" applyBorder="1" applyAlignment="1">
      <alignment horizontal="center" vertical="center"/>
    </xf>
    <xf numFmtId="0" fontId="7" fillId="7" borderId="3" xfId="0" applyFont="1" applyFill="1" applyBorder="1" applyAlignment="1">
      <alignment horizontal="center" vertical="center"/>
    </xf>
    <xf numFmtId="0" fontId="7" fillId="7" borderId="10" xfId="0" applyFont="1" applyFill="1" applyBorder="1" applyAlignment="1">
      <alignment horizontal="center" vertical="center"/>
    </xf>
    <xf numFmtId="14" fontId="29" fillId="4" borderId="0" xfId="0" applyNumberFormat="1" applyFont="1" applyFill="1" applyAlignment="1">
      <alignment horizontal="center"/>
    </xf>
    <xf numFmtId="0" fontId="14" fillId="7" borderId="17" xfId="0" applyFont="1" applyFill="1" applyBorder="1" applyAlignment="1">
      <alignment horizontal="center" wrapText="1"/>
    </xf>
    <xf numFmtId="0" fontId="14" fillId="7" borderId="0" xfId="0" applyFont="1" applyFill="1" applyAlignment="1">
      <alignment horizontal="center" wrapText="1"/>
    </xf>
    <xf numFmtId="0" fontId="14" fillId="7" borderId="18" xfId="0" applyFont="1" applyFill="1" applyBorder="1" applyAlignment="1">
      <alignment horizontal="center" wrapText="1"/>
    </xf>
    <xf numFmtId="0" fontId="9" fillId="7" borderId="17" xfId="0" applyFont="1" applyFill="1" applyBorder="1" applyAlignment="1">
      <alignment horizontal="center"/>
    </xf>
    <xf numFmtId="0" fontId="9" fillId="7" borderId="0" xfId="0" applyFont="1" applyFill="1" applyAlignment="1">
      <alignment horizontal="center"/>
    </xf>
    <xf numFmtId="0" fontId="9" fillId="7" borderId="18" xfId="0" applyFont="1" applyFill="1" applyBorder="1" applyAlignment="1">
      <alignment horizontal="center"/>
    </xf>
    <xf numFmtId="0" fontId="11" fillId="7" borderId="17" xfId="0" applyFont="1" applyFill="1" applyBorder="1" applyAlignment="1">
      <alignment horizontal="left" wrapText="1"/>
    </xf>
    <xf numFmtId="0" fontId="11" fillId="7" borderId="0" xfId="0" applyFont="1" applyFill="1" applyAlignment="1">
      <alignment horizontal="left" wrapText="1"/>
    </xf>
    <xf numFmtId="0" fontId="11" fillId="7" borderId="18" xfId="0" applyFont="1" applyFill="1" applyBorder="1" applyAlignment="1">
      <alignment horizontal="left" wrapText="1"/>
    </xf>
    <xf numFmtId="0" fontId="15" fillId="0" borderId="0" xfId="2" applyFont="1" applyAlignment="1">
      <alignment horizontal="center" wrapText="1"/>
    </xf>
    <xf numFmtId="0" fontId="16" fillId="7" borderId="1" xfId="2" applyFont="1" applyFill="1" applyBorder="1" applyAlignment="1">
      <alignment horizontal="left"/>
    </xf>
    <xf numFmtId="0" fontId="39" fillId="7" borderId="1" xfId="2" applyFont="1" applyFill="1" applyBorder="1" applyAlignment="1">
      <alignment horizontal="left" wrapText="1"/>
    </xf>
    <xf numFmtId="0" fontId="39" fillId="7" borderId="1" xfId="2" applyFont="1" applyFill="1" applyBorder="1" applyAlignment="1">
      <alignment horizontal="left"/>
    </xf>
    <xf numFmtId="0" fontId="16" fillId="7" borderId="1" xfId="2" applyFont="1" applyFill="1" applyBorder="1" applyAlignment="1">
      <alignment horizontal="left" wrapText="1"/>
    </xf>
    <xf numFmtId="0" fontId="16" fillId="8" borderId="5" xfId="2" applyFont="1" applyFill="1" applyBorder="1" applyAlignment="1" applyProtection="1">
      <alignment horizontal="center"/>
      <protection locked="0"/>
    </xf>
    <xf numFmtId="0" fontId="16" fillId="8" borderId="2" xfId="2" applyFont="1" applyFill="1" applyBorder="1" applyAlignment="1" applyProtection="1">
      <alignment horizontal="center"/>
      <protection locked="0"/>
    </xf>
    <xf numFmtId="0" fontId="16" fillId="8" borderId="4" xfId="2" applyFont="1" applyFill="1" applyBorder="1" applyAlignment="1" applyProtection="1">
      <alignment horizontal="center"/>
      <protection locked="0"/>
    </xf>
    <xf numFmtId="0" fontId="7" fillId="8" borderId="5" xfId="0" applyFont="1" applyFill="1" applyBorder="1" applyAlignment="1" applyProtection="1">
      <alignment horizontal="center"/>
      <protection locked="0"/>
    </xf>
    <xf numFmtId="0" fontId="7" fillId="8" borderId="2" xfId="0" applyFont="1" applyFill="1" applyBorder="1" applyAlignment="1" applyProtection="1">
      <alignment horizontal="center"/>
      <protection locked="0"/>
    </xf>
    <xf numFmtId="0" fontId="7" fillId="8" borderId="4" xfId="0" applyFont="1" applyFill="1" applyBorder="1" applyAlignment="1" applyProtection="1">
      <alignment horizontal="center"/>
      <protection locked="0"/>
    </xf>
    <xf numFmtId="0" fontId="13" fillId="7" borderId="25" xfId="0" applyFont="1" applyFill="1" applyBorder="1" applyAlignment="1">
      <alignment horizontal="left"/>
    </xf>
    <xf numFmtId="0" fontId="13" fillId="7" borderId="22" xfId="0" applyFont="1" applyFill="1" applyBorder="1" applyAlignment="1">
      <alignment horizontal="left"/>
    </xf>
    <xf numFmtId="14" fontId="11" fillId="4" borderId="0" xfId="0" applyNumberFormat="1" applyFont="1" applyFill="1" applyAlignment="1">
      <alignment horizontal="center"/>
    </xf>
    <xf numFmtId="0" fontId="11" fillId="4" borderId="0" xfId="0" applyFont="1" applyFill="1" applyAlignment="1">
      <alignment horizontal="center"/>
    </xf>
    <xf numFmtId="0" fontId="16" fillId="7" borderId="5" xfId="2" applyFont="1" applyFill="1" applyBorder="1" applyAlignment="1">
      <alignment horizontal="left"/>
    </xf>
    <xf numFmtId="171" fontId="11" fillId="7" borderId="0" xfId="0" applyNumberFormat="1" applyFont="1" applyFill="1"/>
    <xf numFmtId="0" fontId="16" fillId="7" borderId="0" xfId="0" applyFont="1" applyFill="1" applyAlignment="1">
      <alignment horizontal="center"/>
    </xf>
    <xf numFmtId="170" fontId="11" fillId="7" borderId="0" xfId="0" applyNumberFormat="1" applyFont="1" applyFill="1" applyAlignment="1">
      <alignment horizontal="center"/>
    </xf>
    <xf numFmtId="168" fontId="11" fillId="7" borderId="16" xfId="0" applyNumberFormat="1" applyFont="1" applyFill="1" applyBorder="1" applyAlignment="1" applyProtection="1">
      <alignment horizontal="center"/>
      <protection locked="0"/>
    </xf>
    <xf numFmtId="168" fontId="11" fillId="7" borderId="0" xfId="0" applyNumberFormat="1" applyFont="1" applyFill="1" applyAlignment="1" applyProtection="1">
      <alignment horizontal="center"/>
      <protection locked="0"/>
    </xf>
    <xf numFmtId="0" fontId="7" fillId="7" borderId="7" xfId="0" applyFont="1" applyFill="1" applyBorder="1" applyAlignment="1">
      <alignment horizontal="center" wrapText="1"/>
    </xf>
    <xf numFmtId="0" fontId="7" fillId="7" borderId="3" xfId="0" applyFont="1" applyFill="1" applyBorder="1" applyAlignment="1">
      <alignment horizontal="center" wrapText="1"/>
    </xf>
    <xf numFmtId="0" fontId="7" fillId="7" borderId="10" xfId="0" applyFont="1" applyFill="1" applyBorder="1" applyAlignment="1">
      <alignment horizontal="center" wrapText="1"/>
    </xf>
    <xf numFmtId="0" fontId="7" fillId="7" borderId="17" xfId="0" applyFont="1" applyFill="1" applyBorder="1" applyAlignment="1">
      <alignment horizontal="center" wrapText="1"/>
    </xf>
    <xf numFmtId="0" fontId="7" fillId="7" borderId="0" xfId="0" applyFont="1" applyFill="1" applyAlignment="1">
      <alignment horizontal="center" wrapText="1"/>
    </xf>
    <xf numFmtId="0" fontId="7" fillId="7" borderId="18" xfId="0" applyFont="1" applyFill="1" applyBorder="1" applyAlignment="1">
      <alignment horizontal="center" wrapText="1"/>
    </xf>
    <xf numFmtId="0" fontId="7" fillId="7" borderId="6" xfId="0" applyFont="1" applyFill="1" applyBorder="1" applyAlignment="1">
      <alignment horizontal="center" wrapText="1"/>
    </xf>
    <xf numFmtId="0" fontId="7" fillId="7" borderId="8" xfId="0" applyFont="1" applyFill="1" applyBorder="1" applyAlignment="1">
      <alignment horizontal="center" wrapText="1"/>
    </xf>
    <xf numFmtId="0" fontId="7" fillId="7" borderId="9" xfId="0" applyFont="1" applyFill="1" applyBorder="1" applyAlignment="1">
      <alignment horizontal="center" wrapText="1"/>
    </xf>
    <xf numFmtId="0" fontId="11" fillId="7" borderId="16" xfId="0" applyFont="1" applyFill="1" applyBorder="1" applyAlignment="1" applyProtection="1">
      <alignment horizontal="center"/>
      <protection locked="0"/>
    </xf>
    <xf numFmtId="14" fontId="29" fillId="4" borderId="13" xfId="0" applyNumberFormat="1" applyFont="1" applyFill="1" applyBorder="1" applyAlignment="1">
      <alignment horizontal="center"/>
    </xf>
    <xf numFmtId="14" fontId="29" fillId="4" borderId="12" xfId="0" applyNumberFormat="1" applyFont="1" applyFill="1" applyBorder="1" applyAlignment="1">
      <alignment horizontal="center"/>
    </xf>
    <xf numFmtId="14" fontId="28" fillId="4" borderId="0" xfId="0" applyNumberFormat="1" applyFont="1" applyFill="1" applyAlignment="1">
      <alignment horizontal="center"/>
    </xf>
    <xf numFmtId="0" fontId="16" fillId="7" borderId="16" xfId="0" applyFont="1" applyFill="1" applyBorder="1" applyAlignment="1">
      <alignment horizontal="center"/>
    </xf>
    <xf numFmtId="0" fontId="11" fillId="14" borderId="5" xfId="2" applyFont="1" applyFill="1" applyBorder="1" applyAlignment="1" applyProtection="1">
      <alignment horizontal="left"/>
      <protection locked="0"/>
    </xf>
    <xf numFmtId="0" fontId="11" fillId="14" borderId="2" xfId="2" applyFont="1" applyFill="1" applyBorder="1" applyAlignment="1" applyProtection="1">
      <alignment horizontal="left"/>
      <protection locked="0"/>
    </xf>
    <xf numFmtId="0" fontId="11" fillId="14" borderId="45" xfId="2" applyFont="1" applyFill="1" applyBorder="1" applyAlignment="1" applyProtection="1">
      <alignment horizontal="left"/>
      <protection locked="0"/>
    </xf>
    <xf numFmtId="0" fontId="17" fillId="14" borderId="5" xfId="12" applyFont="1" applyFill="1" applyBorder="1" applyAlignment="1" applyProtection="1">
      <alignment horizontal="left"/>
      <protection locked="0"/>
    </xf>
    <xf numFmtId="0" fontId="17" fillId="14" borderId="2" xfId="12" applyFont="1" applyFill="1" applyBorder="1" applyAlignment="1" applyProtection="1">
      <alignment horizontal="left"/>
      <protection locked="0"/>
    </xf>
    <xf numFmtId="0" fontId="17" fillId="14" borderId="45" xfId="12" applyFont="1" applyFill="1" applyBorder="1" applyAlignment="1" applyProtection="1">
      <alignment horizontal="left"/>
      <protection locked="0"/>
    </xf>
    <xf numFmtId="0" fontId="11" fillId="8" borderId="5" xfId="2" applyFont="1" applyFill="1" applyBorder="1" applyAlignment="1" applyProtection="1">
      <alignment horizontal="center"/>
      <protection locked="0"/>
    </xf>
    <xf numFmtId="0" fontId="11" fillId="8" borderId="2" xfId="2" applyFont="1" applyFill="1" applyBorder="1" applyAlignment="1" applyProtection="1">
      <alignment horizontal="center"/>
      <protection locked="0"/>
    </xf>
    <xf numFmtId="0" fontId="11" fillId="8" borderId="4" xfId="2" applyFont="1" applyFill="1" applyBorder="1" applyAlignment="1" applyProtection="1">
      <alignment horizontal="center"/>
      <protection locked="0"/>
    </xf>
    <xf numFmtId="0" fontId="11" fillId="8" borderId="5" xfId="2" applyFont="1" applyFill="1" applyBorder="1" applyAlignment="1" applyProtection="1">
      <alignment horizontal="left"/>
      <protection locked="0"/>
    </xf>
    <xf numFmtId="0" fontId="11" fillId="8" borderId="2" xfId="2" applyFont="1" applyFill="1" applyBorder="1" applyAlignment="1" applyProtection="1">
      <alignment horizontal="left"/>
      <protection locked="0"/>
    </xf>
    <xf numFmtId="0" fontId="11" fillId="8" borderId="4" xfId="2" applyFont="1" applyFill="1" applyBorder="1" applyAlignment="1" applyProtection="1">
      <alignment horizontal="left"/>
      <protection locked="0"/>
    </xf>
    <xf numFmtId="14" fontId="44" fillId="7" borderId="0" xfId="2" applyNumberFormat="1" applyFont="1" applyFill="1" applyAlignment="1" applyProtection="1">
      <alignment horizontal="center"/>
      <protection locked="0"/>
    </xf>
    <xf numFmtId="0" fontId="16" fillId="7" borderId="0" xfId="2" applyFont="1" applyFill="1" applyAlignment="1">
      <alignment horizontal="left"/>
    </xf>
    <xf numFmtId="0" fontId="53" fillId="7" borderId="0" xfId="2" applyFont="1" applyFill="1" applyAlignment="1">
      <alignment horizontal="left"/>
    </xf>
    <xf numFmtId="0" fontId="19" fillId="7" borderId="5" xfId="0" applyFont="1" applyFill="1" applyBorder="1" applyAlignment="1">
      <alignment horizontal="center" vertical="center"/>
    </xf>
    <xf numFmtId="0" fontId="19" fillId="7" borderId="2" xfId="0" applyFont="1" applyFill="1" applyBorder="1" applyAlignment="1">
      <alignment horizontal="center" vertical="center"/>
    </xf>
    <xf numFmtId="0" fontId="19" fillId="7" borderId="4" xfId="0" applyFont="1" applyFill="1" applyBorder="1" applyAlignment="1">
      <alignment horizontal="center" vertical="center"/>
    </xf>
    <xf numFmtId="170" fontId="11" fillId="7" borderId="21" xfId="0" applyNumberFormat="1" applyFont="1" applyFill="1" applyBorder="1"/>
    <xf numFmtId="0" fontId="45" fillId="7" borderId="25" xfId="0" applyFont="1" applyFill="1" applyBorder="1" applyAlignment="1">
      <alignment horizontal="center"/>
    </xf>
    <xf numFmtId="0" fontId="45" fillId="7" borderId="22" xfId="0" applyFont="1" applyFill="1" applyBorder="1" applyAlignment="1">
      <alignment horizontal="center"/>
    </xf>
    <xf numFmtId="0" fontId="45" fillId="7" borderId="24" xfId="0" applyFont="1" applyFill="1" applyBorder="1" applyAlignment="1">
      <alignment horizontal="center"/>
    </xf>
    <xf numFmtId="14" fontId="11" fillId="7" borderId="28" xfId="2" applyNumberFormat="1" applyFont="1" applyFill="1" applyBorder="1" applyAlignment="1">
      <alignment horizontal="center" wrapText="1"/>
    </xf>
    <xf numFmtId="14" fontId="11" fillId="7" borderId="11" xfId="2" applyNumberFormat="1" applyFont="1" applyFill="1" applyBorder="1" applyAlignment="1">
      <alignment horizontal="center" wrapText="1"/>
    </xf>
    <xf numFmtId="14" fontId="11" fillId="7" borderId="26" xfId="2" applyNumberFormat="1" applyFont="1" applyFill="1" applyBorder="1" applyAlignment="1">
      <alignment horizontal="center" wrapText="1"/>
    </xf>
    <xf numFmtId="1" fontId="17" fillId="7" borderId="27" xfId="0" applyNumberFormat="1" applyFont="1" applyFill="1" applyBorder="1"/>
    <xf numFmtId="1" fontId="17" fillId="7" borderId="22" xfId="0" applyNumberFormat="1" applyFont="1" applyFill="1" applyBorder="1"/>
    <xf numFmtId="0" fontId="31" fillId="7" borderId="17" xfId="2" applyFont="1" applyFill="1" applyBorder="1" applyAlignment="1">
      <alignment horizontal="center" vertical="center" wrapText="1"/>
    </xf>
    <xf numFmtId="0" fontId="31" fillId="7" borderId="0" xfId="2" applyFont="1" applyFill="1" applyAlignment="1">
      <alignment horizontal="center" vertical="center" wrapText="1"/>
    </xf>
    <xf numFmtId="170" fontId="33" fillId="7" borderId="29" xfId="2" applyNumberFormat="1" applyFont="1" applyFill="1" applyBorder="1" applyAlignment="1">
      <alignment horizontal="center"/>
    </xf>
    <xf numFmtId="170" fontId="33" fillId="7" borderId="30" xfId="2" applyNumberFormat="1" applyFont="1" applyFill="1" applyBorder="1" applyAlignment="1">
      <alignment horizontal="center"/>
    </xf>
    <xf numFmtId="0" fontId="31" fillId="7" borderId="18" xfId="2" applyFont="1" applyFill="1" applyBorder="1" applyAlignment="1">
      <alignment horizontal="center" vertical="center" wrapText="1"/>
    </xf>
    <xf numFmtId="170" fontId="33" fillId="7" borderId="30" xfId="0" applyNumberFormat="1" applyFont="1" applyFill="1" applyBorder="1" applyAlignment="1">
      <alignment horizontal="center"/>
    </xf>
    <xf numFmtId="170" fontId="33" fillId="7" borderId="31" xfId="0" applyNumberFormat="1" applyFont="1" applyFill="1" applyBorder="1" applyAlignment="1">
      <alignment horizontal="center"/>
    </xf>
    <xf numFmtId="0" fontId="34" fillId="7" borderId="32" xfId="0" applyFont="1" applyFill="1" applyBorder="1" applyAlignment="1">
      <alignment horizontal="center" wrapText="1"/>
    </xf>
    <xf numFmtId="0" fontId="34" fillId="7" borderId="33" xfId="0" applyFont="1" applyFill="1" applyBorder="1" applyAlignment="1">
      <alignment horizontal="center" wrapText="1"/>
    </xf>
    <xf numFmtId="0" fontId="34" fillId="7" borderId="34" xfId="0" applyFont="1" applyFill="1" applyBorder="1" applyAlignment="1">
      <alignment horizontal="center" wrapText="1"/>
    </xf>
    <xf numFmtId="0" fontId="34" fillId="7" borderId="17" xfId="0" applyFont="1" applyFill="1" applyBorder="1" applyAlignment="1">
      <alignment horizontal="center" wrapText="1"/>
    </xf>
    <xf numFmtId="0" fontId="34" fillId="7" borderId="0" xfId="0" applyFont="1" applyFill="1" applyAlignment="1">
      <alignment horizontal="center" wrapText="1"/>
    </xf>
    <xf numFmtId="0" fontId="34" fillId="7" borderId="18" xfId="0" applyFont="1" applyFill="1" applyBorder="1" applyAlignment="1">
      <alignment horizontal="center" wrapText="1"/>
    </xf>
    <xf numFmtId="0" fontId="34" fillId="7" borderId="6" xfId="0" applyFont="1" applyFill="1" applyBorder="1" applyAlignment="1">
      <alignment horizontal="center" wrapText="1"/>
    </xf>
    <xf numFmtId="0" fontId="34" fillId="7" borderId="8" xfId="0" applyFont="1" applyFill="1" applyBorder="1" applyAlignment="1">
      <alignment horizontal="center" wrapText="1"/>
    </xf>
    <xf numFmtId="0" fontId="34" fillId="7" borderId="9" xfId="0" applyFont="1" applyFill="1" applyBorder="1" applyAlignment="1">
      <alignment horizontal="center" wrapText="1"/>
    </xf>
    <xf numFmtId="170" fontId="11" fillId="7" borderId="22" xfId="0" applyNumberFormat="1" applyFont="1" applyFill="1" applyBorder="1"/>
    <xf numFmtId="0" fontId="26" fillId="7" borderId="25" xfId="2" applyFont="1" applyFill="1" applyBorder="1" applyAlignment="1">
      <alignment horizontal="center"/>
    </xf>
    <xf numFmtId="0" fontId="26" fillId="7" borderId="22" xfId="2" applyFont="1" applyFill="1" applyBorder="1" applyAlignment="1">
      <alignment horizontal="center"/>
    </xf>
    <xf numFmtId="0" fontId="26" fillId="7" borderId="24" xfId="2" applyFont="1" applyFill="1" applyBorder="1" applyAlignment="1">
      <alignment horizontal="center"/>
    </xf>
    <xf numFmtId="0" fontId="55" fillId="7" borderId="17" xfId="0" applyFont="1" applyFill="1" applyBorder="1" applyAlignment="1">
      <alignment horizontal="center"/>
    </xf>
    <xf numFmtId="0" fontId="55" fillId="7" borderId="0" xfId="0" applyFont="1" applyFill="1" applyAlignment="1">
      <alignment horizontal="center"/>
    </xf>
    <xf numFmtId="0" fontId="55" fillId="7" borderId="47" xfId="0" applyFont="1" applyFill="1" applyBorder="1" applyAlignment="1">
      <alignment horizontal="center"/>
    </xf>
    <xf numFmtId="0" fontId="13" fillId="15" borderId="14" xfId="0" applyFont="1" applyFill="1" applyBorder="1" applyAlignment="1">
      <alignment horizontal="center"/>
    </xf>
    <xf numFmtId="0" fontId="13" fillId="15" borderId="13" xfId="0" applyFont="1" applyFill="1" applyBorder="1" applyAlignment="1">
      <alignment horizontal="center"/>
    </xf>
    <xf numFmtId="0" fontId="13" fillId="15" borderId="12" xfId="0" applyFont="1" applyFill="1" applyBorder="1" applyAlignment="1">
      <alignment horizontal="center"/>
    </xf>
    <xf numFmtId="0" fontId="16" fillId="15" borderId="1" xfId="0" applyFont="1" applyFill="1" applyBorder="1" applyAlignment="1">
      <alignment horizontal="center"/>
    </xf>
    <xf numFmtId="0" fontId="13" fillId="7" borderId="25" xfId="0" applyFont="1" applyFill="1" applyBorder="1" applyAlignment="1">
      <alignment horizontal="center"/>
    </xf>
    <xf numFmtId="0" fontId="13" fillId="7" borderId="22" xfId="0" applyFont="1" applyFill="1" applyBorder="1" applyAlignment="1">
      <alignment horizontal="center"/>
    </xf>
    <xf numFmtId="0" fontId="24" fillId="7" borderId="22" xfId="0" applyFont="1" applyFill="1" applyBorder="1"/>
    <xf numFmtId="0" fontId="24" fillId="8" borderId="17" xfId="0" applyFont="1" applyFill="1" applyBorder="1" applyAlignment="1">
      <alignment horizontal="center"/>
    </xf>
    <xf numFmtId="0" fontId="24" fillId="8" borderId="0" xfId="0" applyFont="1" applyFill="1" applyAlignment="1">
      <alignment horizontal="center"/>
    </xf>
    <xf numFmtId="0" fontId="24" fillId="8" borderId="18" xfId="0" applyFont="1" applyFill="1" applyBorder="1" applyAlignment="1">
      <alignment horizontal="center"/>
    </xf>
    <xf numFmtId="0" fontId="11" fillId="7" borderId="17" xfId="0" applyFont="1" applyFill="1" applyBorder="1" applyAlignment="1">
      <alignment horizontal="left"/>
    </xf>
    <xf numFmtId="0" fontId="11" fillId="7" borderId="0" xfId="0" applyFont="1" applyFill="1" applyAlignment="1">
      <alignment horizontal="left"/>
    </xf>
    <xf numFmtId="0" fontId="11" fillId="7" borderId="17" xfId="0" applyFont="1" applyFill="1" applyBorder="1" applyAlignment="1">
      <alignment horizontal="center"/>
    </xf>
    <xf numFmtId="0" fontId="11" fillId="7" borderId="0" xfId="0" applyFont="1" applyFill="1" applyAlignment="1">
      <alignment horizontal="center"/>
    </xf>
    <xf numFmtId="172" fontId="16" fillId="9" borderId="0" xfId="0" applyNumberFormat="1" applyFont="1" applyFill="1" applyAlignment="1">
      <alignment horizontal="center"/>
    </xf>
    <xf numFmtId="0" fontId="17" fillId="7" borderId="17" xfId="0" applyFont="1" applyFill="1" applyBorder="1" applyAlignment="1">
      <alignment horizontal="center"/>
    </xf>
    <xf numFmtId="0" fontId="17" fillId="7" borderId="0" xfId="0" applyFont="1" applyFill="1" applyAlignment="1">
      <alignment horizontal="center"/>
    </xf>
    <xf numFmtId="0" fontId="7" fillId="7" borderId="0" xfId="0" applyFont="1" applyFill="1" applyAlignment="1">
      <alignment horizontal="left" vertical="top" wrapText="1"/>
    </xf>
  </cellXfs>
  <cellStyles count="23">
    <cellStyle name="1000-sep (2 dec) 2" xfId="3" xr:uid="{00000000-0005-0000-0000-000000000000}"/>
    <cellStyle name="1000-sep (2 dec) 2 2" xfId="14" xr:uid="{D1808234-1F61-4FBA-A132-2620A1412416}"/>
    <cellStyle name="1000-sep (2 dec) 2 2 2" xfId="22" xr:uid="{3AD6B437-9397-40F7-BA08-AD99373ADB6D}"/>
    <cellStyle name="Komma" xfId="1" builtinId="3"/>
    <cellStyle name="Link" xfId="12" builtinId="8"/>
    <cellStyle name="Normal" xfId="0" builtinId="0"/>
    <cellStyle name="Normal 2" xfId="2" xr:uid="{00000000-0005-0000-0000-000004000000}"/>
    <cellStyle name="Normal 2 2" xfId="4" xr:uid="{00000000-0005-0000-0000-000005000000}"/>
    <cellStyle name="Normal 2 2 2" xfId="15" xr:uid="{18F80DC8-939B-4A87-9587-7E2B6BD0AAA3}"/>
    <cellStyle name="Normal 2 3" xfId="9" xr:uid="{00000000-0005-0000-0000-000006000000}"/>
    <cellStyle name="Normal 2 3 2" xfId="20" xr:uid="{A5C4AF0E-FF7E-4726-B14B-39623CFFA970}"/>
    <cellStyle name="Normal 2 4" xfId="10" xr:uid="{00000000-0005-0000-0000-000007000000}"/>
    <cellStyle name="Normal 2 4 2" xfId="21" xr:uid="{AF33E7F0-4EEC-4589-99B6-8430DB5C7EB1}"/>
    <cellStyle name="Normal 3" xfId="6" xr:uid="{00000000-0005-0000-0000-000008000000}"/>
    <cellStyle name="Normal 3 2" xfId="17" xr:uid="{B050EA13-B2A9-4B4B-886C-14C4529C499F}"/>
    <cellStyle name="Normal 4" xfId="5" xr:uid="{00000000-0005-0000-0000-000009000000}"/>
    <cellStyle name="Normal 4 2" xfId="16" xr:uid="{2DDCEF48-20AC-475E-BEB4-E8CF886EEFBD}"/>
    <cellStyle name="Normal 5" xfId="7" xr:uid="{00000000-0005-0000-0000-00000A000000}"/>
    <cellStyle name="Normal 5 2" xfId="18" xr:uid="{2E8EEFB6-A412-42E4-A826-3D37BCE8A531}"/>
    <cellStyle name="Normal 6" xfId="8" xr:uid="{00000000-0005-0000-0000-00000B000000}"/>
    <cellStyle name="Normal 6 2" xfId="19" xr:uid="{047C22A3-4D3E-45BD-85BE-EB935A25837E}"/>
    <cellStyle name="Valuta" xfId="13" builtinId="4"/>
    <cellStyle name="Valuta 2" xfId="11" xr:uid="{00000000-0005-0000-0000-00000D000000}"/>
  </cellStyles>
  <dxfs count="51">
    <dxf>
      <fill>
        <patternFill>
          <bgColor rgb="FFF6F6F8"/>
        </patternFill>
      </fill>
    </dxf>
    <dxf>
      <fill>
        <patternFill>
          <bgColor rgb="FFABABAB"/>
        </patternFill>
      </fill>
    </dxf>
    <dxf>
      <font>
        <color rgb="FF000C2E"/>
      </font>
      <numFmt numFmtId="0" formatCode="General"/>
      <fill>
        <patternFill patternType="solid">
          <bgColor rgb="FFABABAB"/>
        </patternFill>
      </fill>
      <border>
        <left style="thin">
          <color auto="1"/>
        </left>
        <right style="thin">
          <color auto="1"/>
        </right>
        <top style="thin">
          <color auto="1"/>
        </top>
        <bottom style="thin">
          <color auto="1"/>
        </bottom>
      </border>
    </dxf>
    <dxf>
      <fill>
        <patternFill>
          <bgColor rgb="FFABABAB"/>
        </patternFill>
      </fill>
      <border>
        <left style="thin">
          <color auto="1"/>
        </left>
        <right style="thin">
          <color auto="1"/>
        </right>
        <top style="thin">
          <color auto="1"/>
        </top>
        <bottom style="thin">
          <color auto="1"/>
        </bottom>
      </border>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ill>
        <patternFill>
          <bgColor rgb="FFCBE9FC"/>
        </patternFill>
      </fill>
    </dxf>
    <dxf>
      <fill>
        <patternFill>
          <bgColor rgb="FFCBE9FC"/>
        </patternFill>
      </fill>
    </dxf>
    <dxf>
      <fill>
        <patternFill patternType="solid">
          <bgColor rgb="FFCBE9FC"/>
        </patternFill>
      </fill>
    </dxf>
    <dxf>
      <fill>
        <patternFill>
          <bgColor rgb="FFCBE9FC"/>
        </patternFill>
      </fill>
    </dxf>
    <dxf>
      <fill>
        <patternFill>
          <bgColor rgb="FFCBE9FC"/>
        </patternFill>
      </fill>
    </dxf>
    <dxf>
      <fill>
        <patternFill>
          <bgColor rgb="FF00B0F0"/>
        </patternFill>
      </fill>
    </dxf>
    <dxf>
      <fill>
        <patternFill>
          <bgColor rgb="FFCBE9FC"/>
        </patternFill>
      </fill>
    </dxf>
    <dxf>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ttom style="thin">
          <color auto="1"/>
        </bottom>
      </border>
    </dxf>
    <dxf>
      <fill>
        <patternFill>
          <bgColor rgb="FFCBE9FC"/>
        </patternFill>
      </fill>
    </dxf>
    <dxf>
      <font>
        <b val="0"/>
        <i val="0"/>
        <strike val="0"/>
        <condense val="0"/>
        <extend val="0"/>
        <outline val="0"/>
        <shadow val="0"/>
        <u val="none"/>
        <vertAlign val="baseline"/>
        <sz val="11"/>
        <color theme="1"/>
        <name val="KBH"/>
        <scheme val="none"/>
      </font>
    </dxf>
    <dxf>
      <font>
        <b val="0"/>
        <i val="0"/>
        <strike val="0"/>
        <condense val="0"/>
        <extend val="0"/>
        <outline val="0"/>
        <shadow val="0"/>
        <u val="none"/>
        <vertAlign val="baseline"/>
        <sz val="11"/>
        <color rgb="FF000C2E"/>
        <name val="KBH"/>
        <scheme val="none"/>
      </font>
    </dxf>
    <dxf>
      <font>
        <b val="0"/>
        <i val="0"/>
        <strike val="0"/>
        <condense val="0"/>
        <extend val="0"/>
        <outline val="0"/>
        <shadow val="0"/>
        <u val="none"/>
        <vertAlign val="baseline"/>
        <sz val="11"/>
        <color rgb="FF000C2E"/>
        <name val="KBH"/>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numFmt numFmtId="19" formatCode="dd/mm/yyyy"/>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numFmt numFmtId="19" formatCode="dd/mm/yyyy"/>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numFmt numFmtId="1" formatCode="0"/>
      <alignment horizontal="center" vertical="bottom"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rgb="FF000C2E"/>
        <name val="KBH"/>
        <scheme val="none"/>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fill>
        <patternFill patternType="solid">
          <fgColor indexed="64"/>
          <bgColor theme="8" tint="0.79998168889431442"/>
        </patternFill>
      </fill>
      <border diagonalUp="0" diagonalDown="0">
        <left/>
        <right style="medium">
          <color indexed="64"/>
        </right>
        <top/>
        <bottom/>
        <vertical/>
        <horizontal/>
      </border>
    </dxf>
    <dxf>
      <font>
        <b val="0"/>
        <i val="0"/>
        <strike val="0"/>
        <condense val="0"/>
        <extend val="0"/>
        <outline val="0"/>
        <shadow val="0"/>
        <u val="none"/>
        <vertAlign val="baseline"/>
        <sz val="11"/>
        <color rgb="FF000C2E"/>
        <name val="KBH"/>
        <scheme val="none"/>
      </font>
      <fill>
        <patternFill patternType="solid">
          <fgColor indexed="64"/>
          <bgColor theme="8"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fill>
        <patternFill patternType="solid">
          <fgColor indexed="64"/>
          <bgColor theme="8"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numFmt numFmtId="170" formatCode="#,##0\ &quot;kr.&quot;"/>
      <fill>
        <patternFill patternType="solid">
          <fgColor indexed="64"/>
          <bgColor theme="8"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fill>
        <patternFill patternType="solid">
          <fgColor indexed="64"/>
          <bgColor rgb="FFC9BFE1"/>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numFmt numFmtId="1" formatCode="0"/>
      <fill>
        <patternFill patternType="solid">
          <fgColor indexed="64"/>
          <bgColor rgb="FF60606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KBH"/>
        <scheme val="none"/>
      </font>
      <fill>
        <patternFill patternType="solid">
          <fgColor indexed="64"/>
          <bgColor rgb="FF606060"/>
        </patternFill>
      </fill>
    </dxf>
    <dxf>
      <font>
        <b val="0"/>
        <i val="0"/>
        <strike val="0"/>
        <condense val="0"/>
        <extend val="0"/>
        <outline val="0"/>
        <shadow val="0"/>
        <u val="none"/>
        <vertAlign val="baseline"/>
        <sz val="11"/>
        <color rgb="FF000C2E"/>
        <name val="KBH"/>
        <scheme val="none"/>
      </font>
      <numFmt numFmtId="1" formatCode="0"/>
      <fill>
        <patternFill patternType="solid">
          <fgColor indexed="64"/>
          <bgColor rgb="FF606060"/>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numFmt numFmtId="1" formatCode="0"/>
      <fill>
        <patternFill patternType="solid">
          <fgColor indexed="64"/>
          <bgColor rgb="FF92D050"/>
        </patternFill>
      </fill>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rgb="FF000C2E"/>
        <name val="KBH"/>
        <scheme val="none"/>
      </font>
      <numFmt numFmtId="1" formatCode="0"/>
      <fill>
        <patternFill patternType="solid">
          <fgColor indexed="64"/>
          <bgColor rgb="FF92D050"/>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fill>
        <patternFill patternType="solid">
          <fgColor indexed="64"/>
          <bgColor rgb="FF92D050"/>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fill>
        <patternFill patternType="solid">
          <fgColor indexed="64"/>
          <bgColor rgb="FF92D050"/>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C2E"/>
        <name val="KBH"/>
        <scheme val="none"/>
      </font>
      <fill>
        <patternFill patternType="solid">
          <fgColor indexed="64"/>
          <bgColor rgb="FF606060"/>
        </patternFill>
      </fill>
      <alignment horizontal="center" vertical="bottom" textRotation="0" wrapText="0" indent="0" justifyLastLine="0" shrinkToFit="0" readingOrder="0"/>
    </dxf>
    <dxf>
      <border outline="0">
        <left style="medium">
          <color indexed="64"/>
        </left>
      </border>
    </dxf>
    <dxf>
      <font>
        <b val="0"/>
        <i val="0"/>
        <strike val="0"/>
        <condense val="0"/>
        <extend val="0"/>
        <outline val="0"/>
        <shadow val="0"/>
        <u val="none"/>
        <vertAlign val="baseline"/>
        <sz val="11"/>
        <color rgb="FF000C2E"/>
        <name val="KBH"/>
        <scheme val="none"/>
      </font>
      <numFmt numFmtId="19" formatCode="dd/mm/yyyy"/>
      <protection locked="1" hidden="0"/>
    </dxf>
    <dxf>
      <font>
        <b val="0"/>
        <i val="0"/>
        <strike val="0"/>
        <condense val="0"/>
        <extend val="0"/>
        <outline val="0"/>
        <shadow val="0"/>
        <u val="none"/>
        <vertAlign val="baseline"/>
        <sz val="11"/>
        <color rgb="FF000C2E"/>
        <name val="KBH"/>
        <scheme val="none"/>
      </font>
      <numFmt numFmtId="19" formatCode="dd/mm/yyyy"/>
      <protection locked="1" hidden="0"/>
    </dxf>
    <dxf>
      <font>
        <b val="0"/>
        <i val="0"/>
        <strike val="0"/>
        <condense val="0"/>
        <extend val="0"/>
        <outline val="0"/>
        <shadow val="0"/>
        <u val="none"/>
        <vertAlign val="baseline"/>
        <sz val="11"/>
        <color rgb="FF000C2E"/>
        <name val="KBH"/>
        <scheme val="none"/>
      </font>
      <protection locked="1" hidden="0"/>
    </dxf>
    <dxf>
      <font>
        <b val="0"/>
        <i val="0"/>
        <strike val="0"/>
        <condense val="0"/>
        <extend val="0"/>
        <outline val="0"/>
        <shadow val="0"/>
        <u val="none"/>
        <vertAlign val="baseline"/>
        <sz val="11"/>
        <color rgb="FF000C2E"/>
        <name val="KBH"/>
        <scheme val="none"/>
      </font>
      <protection locked="1" hidden="0"/>
    </dxf>
  </dxfs>
  <tableStyles count="0" defaultTableStyle="TableStyleMedium9" defaultPivotStyle="PivotStyleLight16"/>
  <colors>
    <mruColors>
      <color rgb="FF606060"/>
      <color rgb="FFC9BFE1"/>
      <color rgb="FFABABAB"/>
      <color rgb="FFF6F6F8"/>
      <color rgb="FFFFE9E9"/>
      <color rgb="FF000C2E"/>
      <color rgb="FF898989"/>
      <color rgb="FF7C4AFF"/>
      <color rgb="FFCBE9FC"/>
      <color rgb="FFBDE3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Documents%20and%20Settings/bv3e/Lokale%20indstillinger/Temporary%20Internet%20Files/Content.Outlook/N56BVI97/Barsel/Udvidet%20Terminsberegneren%20og%20regnemaskiner%20V%202.xlsx" TargetMode="External"/><Relationship Id="rId1" Type="http://schemas.openxmlformats.org/officeDocument/2006/relationships/externalLinkPath" Target="/Documents%20and%20Settings/bv3e/Lokale%20indstillinger/Temporary%20Internet%20Files/Content.Outlook/N56BVI97/Barsel/Udvidet%20Terminsberegneren%20og%20regnemaskiner%20V%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rmins Beregner"/>
      <sheetName val="Div. Regnemaskiner"/>
      <sheetName val="Uge for Uge beregner"/>
    </sheetNames>
    <sheetDataSet>
      <sheetData sheetId="0"/>
      <sheetData sheetId="1" refreshError="1"/>
      <sheetData sheetId="2">
        <row r="21">
          <cell r="D21">
            <v>40909</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550A06-1261-4C00-B490-C686244E25E8}" name="Table1" displayName="Table1" ref="K56:L61" totalsRowShown="0" headerRowDxfId="50" dataDxfId="49">
  <autoFilter ref="K56:L61" xr:uid="{E9550A06-1261-4C00-B490-C686244E25E8}"/>
  <tableColumns count="2">
    <tableColumn id="1" xr3:uid="{D147FB96-DE3A-4ACB-971D-0A88F9FDCA15}" name="Fra" dataDxfId="48">
      <calculatedColumnFormula>IF(E57="","",E57)</calculatedColumnFormula>
    </tableColumn>
    <tableColumn id="2" xr3:uid="{D9829783-073D-4CCC-BAF7-A0E66D247DA3}" name="Til" dataDxfId="47">
      <calculatedColumnFormula>IF(G31="","",G31)</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D90CB3B-A61E-4235-9185-97DEB4DF3F78}" name="Table2" displayName="Table2" ref="K158:AM171" totalsRowShown="0" tableBorderDxfId="46">
  <autoFilter ref="K158:AM171" xr:uid="{9D90CB3B-A61E-4235-9185-97DEB4DF3F78}"/>
  <tableColumns count="29">
    <tableColumn id="1" xr3:uid="{132F5A76-A205-4BA8-9F31-56300763FD7D}" name="GG - Ny per dag " dataDxfId="45"/>
    <tableColumn id="2" xr3:uid="{0673D474-4272-4749-AE0E-A2F5E468DC8C}" name="GG" dataDxfId="44"/>
    <tableColumn id="3" xr3:uid="{5B995C30-ED90-42C1-B5CA-5F8A34E2D8AE}" name="Barsel skæve " dataDxfId="43"/>
    <tableColumn id="4" xr3:uid="{341CD581-950B-4D52-AAB6-60892B83629E}" name="Barsel fulde måneder" dataDxfId="42"/>
    <tableColumn id="5" xr3:uid="{8126129D-A2FA-43A8-B2AB-04A689E7A51E}" name="Totalt " dataDxfId="41"/>
    <tableColumn id="6" xr3:uid="{D9F3ED02-A757-4185-84B9-1B9E188198D0}" name="Hverdage " dataDxfId="40"/>
    <tableColumn id="7" xr3:uid="{251DEF10-3F92-4187-9104-654037A6F1AC}" name="Timer (ansættelse)" dataDxfId="39"/>
    <tableColumn id="8" xr3:uid="{F981D413-D210-422B-B1AD-5FE87CA2AC82}" name="Total" dataDxfId="38"/>
    <tableColumn id="9" xr3:uid="{8CBA1F5B-B923-4633-B91B-E97C43F1EF4C}" name="Måned (Jan=1,Dec=12)" dataDxfId="37">
      <calculatedColumnFormula>IF(S158="","",IF(S158+1&gt;MONTH(BarselsfondenTilskud!$B$131),"",S158+1))</calculatedColumnFormula>
    </tableColumn>
    <tableColumn id="10" xr3:uid="{75BE909D-3A76-4A58-9CB5-505A99E3568F}" name="Løn i skæv periode med alm barsel" dataDxfId="36"/>
    <tableColumn id="11" xr3:uid="{0DCC926E-FF7A-4A18-811C-6CF30FA7776E}" name="Mellemregning - skæv lønperiode " dataDxfId="35"/>
    <tableColumn id="12" xr3:uid="{4A92A789-04EA-432B-924B-2DDD7720F184}" name="Mellemregning" dataDxfId="34"/>
    <tableColumn id="13" xr3:uid="{06CBD729-4B61-4336-ABAE-D9ABEEC2B75F}" name="Antal svæve dage" dataDxfId="33"/>
    <tableColumn id="14" xr3:uid="{5EF593D9-0CC6-47F9-86B4-0F574C959F98}" name="Fulde GG dage (tæller ikke nedsat GG med) " dataDxfId="32"/>
    <tableColumn id="15" xr3:uid="{2E0515B4-6D85-4898-A963-C564E315C2FA}" name="NSG løn kompensation " dataDxfId="31"/>
    <tableColumn id="16" xr3:uid="{95F33559-02A6-4401-B7AF-F928B1AF56FF}" name="Særtilfælde (to skæve perioder = fuld)" dataDxfId="30"/>
    <tableColumn id="17" xr3:uid="{5F675CA5-F7CD-49E9-960B-148DA69B00A2}" name="Løn der skal kompensere for GG" dataDxfId="29"/>
    <tableColumn id="18" xr3:uid="{8B272B85-6ADD-4C6F-BDE4-CD207552A318}" name="Er medarbejder berigtigt til barselsdagpenge i denne periode " dataDxfId="28"/>
    <tableColumn id="19" xr3:uid="{B2308CC3-8A6D-4D6F-88EA-C99CA8638768}" name="Er det en skæv Barsels måned " dataDxfId="27"/>
    <tableColumn id="20" xr3:uid="{6D327AD3-5157-4A19-AAFC-BE23DC240BA0}" name="Start/Slut" dataDxfId="26"/>
    <tableColumn id="21" xr3:uid="{FCFC78D7-CBE9-4B37-AE7A-7A8F3CD95066}" name="dagsnorm" dataDxfId="25"/>
    <tableColumn id="22" xr3:uid="{71FB18A8-4CAF-447E-9A15-6B80DF020CCD}" name="Timeløn Per måned " dataDxfId="24"/>
    <tableColumn id="23" xr3:uid="{CCEBA988-E735-420F-B011-1BB01D314166}" name="Timeløn per år" dataDxfId="23"/>
    <tableColumn id="24" xr3:uid="{EF243D44-BC7C-47F0-9AB3-D12FC14ADD8D}" name="Start (mdr)" dataDxfId="22"/>
    <tableColumn id="25" xr3:uid="{6FE2E84B-0843-4574-AA92-CFEAD9A2B1F9}" name="Slut (mdr)" dataDxfId="21"/>
    <tableColumn id="26" xr3:uid="{B12B7301-438B-4E94-AAB4-F549AFB10099}" name="Hverdage i den pågældene måned" dataDxfId="20"/>
    <tableColumn id="27" xr3:uid="{A164C050-6BAB-43A7-A9AF-BA6F6B91282E}" name="refundarbar månedløn &gt; månedløn" dataDxfId="19"/>
    <tableColumn id="28" xr3:uid="{2FB94215-2187-42EE-944A-6A0B22A3C6FF}" name="Dage med dagpenge " dataDxfId="18"/>
    <tableColumn id="29" xr3:uid="{C184E604-651D-41C6-A0F0-5445C2F009C1}" name="Column1" dataDxfId="17"/>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tabColor rgb="FFABABAB"/>
  </sheetPr>
  <dimension ref="A1:CO299"/>
  <sheetViews>
    <sheetView showGridLines="0" tabSelected="1" zoomScale="115" zoomScaleNormal="115" workbookViewId="0">
      <selection activeCell="A13" sqref="A13:C13"/>
    </sheetView>
  </sheetViews>
  <sheetFormatPr defaultColWidth="8.85546875" defaultRowHeight="17.25" customHeight="1" x14ac:dyDescent="0.25"/>
  <cols>
    <col min="1" max="1" width="16.140625" style="7" customWidth="1"/>
    <col min="2" max="2" width="17.140625" style="8" customWidth="1"/>
    <col min="3" max="3" width="13" style="8" customWidth="1"/>
    <col min="4" max="4" width="13.5703125" style="8" customWidth="1"/>
    <col min="5" max="5" width="39" style="8" customWidth="1"/>
    <col min="6" max="6" width="21.5703125" style="8" customWidth="1"/>
    <col min="7" max="7" width="14.5703125" style="9" customWidth="1"/>
    <col min="8" max="8" width="23.7109375" style="12" customWidth="1"/>
    <col min="9" max="9" width="21" style="274" hidden="1" customWidth="1"/>
    <col min="10" max="10" width="57.42578125" style="8" hidden="1" customWidth="1"/>
    <col min="11" max="11" width="42.42578125" style="8" hidden="1" customWidth="1"/>
    <col min="12" max="12" width="29.42578125" style="8" hidden="1" customWidth="1"/>
    <col min="13" max="13" width="25.42578125" style="8" hidden="1" customWidth="1"/>
    <col min="14" max="14" width="35.42578125" style="8" hidden="1" customWidth="1"/>
    <col min="15" max="15" width="33.42578125" style="8" hidden="1" customWidth="1"/>
    <col min="16" max="16" width="20.140625" style="8" hidden="1" customWidth="1"/>
    <col min="17" max="17" width="34.28515625" style="8" hidden="1" customWidth="1"/>
    <col min="18" max="18" width="33.85546875" style="8" hidden="1" customWidth="1"/>
    <col min="19" max="19" width="36" style="8" hidden="1" customWidth="1"/>
    <col min="20" max="20" width="45.85546875" style="8" hidden="1" customWidth="1"/>
    <col min="21" max="21" width="41.28515625" style="8" hidden="1" customWidth="1"/>
    <col min="22" max="22" width="22.5703125" style="8" hidden="1" customWidth="1"/>
    <col min="23" max="23" width="35.42578125" style="8" hidden="1" customWidth="1"/>
    <col min="24" max="24" width="53.5703125" style="8" hidden="1" customWidth="1"/>
    <col min="25" max="25" width="36.5703125" style="8" hidden="1" customWidth="1"/>
    <col min="26" max="26" width="49.42578125" style="8" hidden="1" customWidth="1"/>
    <col min="27" max="27" width="47.42578125" style="8" hidden="1" customWidth="1"/>
    <col min="28" max="28" width="80.140625" style="8" hidden="1" customWidth="1"/>
    <col min="29" max="29" width="43.5703125" style="8" hidden="1" customWidth="1"/>
    <col min="30" max="30" width="25.5703125" style="8" hidden="1" customWidth="1"/>
    <col min="31" max="31" width="17.42578125" style="8" hidden="1" customWidth="1"/>
    <col min="32" max="32" width="28.85546875" style="8" hidden="1" customWidth="1"/>
    <col min="33" max="33" width="20.5703125" style="8" hidden="1" customWidth="1"/>
    <col min="34" max="34" width="25.85546875" style="8" hidden="1" customWidth="1"/>
    <col min="35" max="35" width="18.140625" style="8" hidden="1" customWidth="1"/>
    <col min="36" max="36" width="56.140625" style="8" hidden="1" customWidth="1"/>
    <col min="37" max="37" width="50.85546875" style="8" hidden="1" customWidth="1"/>
    <col min="38" max="38" width="27.28515625" style="8" hidden="1" customWidth="1"/>
    <col min="39" max="93" width="13.42578125" style="8" hidden="1" customWidth="1"/>
    <col min="94" max="188" width="0" style="8" hidden="1" customWidth="1"/>
    <col min="189" max="16384" width="8.85546875" style="8"/>
  </cols>
  <sheetData>
    <row r="1" spans="1:38" ht="17.25" customHeight="1" x14ac:dyDescent="0.3">
      <c r="A1" s="421" t="s">
        <v>207</v>
      </c>
      <c r="B1" s="422"/>
      <c r="C1" s="422"/>
      <c r="D1" s="422"/>
      <c r="E1" s="422"/>
      <c r="F1" s="422"/>
      <c r="G1" s="423"/>
      <c r="H1" s="10"/>
      <c r="I1" s="11"/>
      <c r="J1" s="11"/>
      <c r="O1" s="11"/>
      <c r="P1" s="11"/>
      <c r="Q1" s="11"/>
      <c r="R1" s="11"/>
      <c r="S1" s="11"/>
      <c r="T1" s="11"/>
      <c r="U1" s="11"/>
      <c r="V1" s="11"/>
      <c r="W1" s="11"/>
      <c r="X1" s="11"/>
      <c r="Y1" s="11"/>
      <c r="Z1" s="11"/>
      <c r="AA1" s="11"/>
      <c r="AB1" s="11"/>
      <c r="AC1" s="11"/>
      <c r="AD1" s="11"/>
      <c r="AE1" s="11"/>
      <c r="AF1" s="11"/>
      <c r="AG1" s="11"/>
      <c r="AH1" s="11"/>
      <c r="AI1" s="11"/>
      <c r="AJ1" s="11"/>
      <c r="AK1" s="11"/>
      <c r="AL1" s="11"/>
    </row>
    <row r="2" spans="1:38" ht="17.25" customHeight="1" x14ac:dyDescent="0.25">
      <c r="A2" s="431" t="s">
        <v>0</v>
      </c>
      <c r="B2" s="432"/>
      <c r="C2" s="432"/>
      <c r="D2" s="432"/>
      <c r="E2" s="432"/>
      <c r="F2" s="432"/>
      <c r="G2" s="433"/>
      <c r="H2" s="10"/>
      <c r="K2" s="13" t="s">
        <v>1</v>
      </c>
      <c r="L2" s="14">
        <f>G8/7.4</f>
        <v>140.27027027027026</v>
      </c>
      <c r="O2" s="11"/>
      <c r="P2" s="11"/>
      <c r="Q2" s="11"/>
      <c r="R2" s="11"/>
      <c r="S2" s="11"/>
      <c r="T2" s="11"/>
      <c r="U2" s="11"/>
      <c r="V2" s="11"/>
      <c r="W2" s="11"/>
      <c r="X2" s="11"/>
      <c r="Y2" s="11"/>
      <c r="Z2" s="11"/>
      <c r="AA2" s="11"/>
      <c r="AB2" s="11"/>
      <c r="AC2" s="11"/>
      <c r="AD2" s="11"/>
      <c r="AE2" s="11"/>
      <c r="AF2" s="11"/>
      <c r="AG2" s="11"/>
      <c r="AH2" s="11"/>
      <c r="AI2" s="11"/>
      <c r="AJ2" s="11"/>
      <c r="AK2" s="11"/>
      <c r="AL2" s="11"/>
    </row>
    <row r="3" spans="1:38" ht="17.25" customHeight="1" x14ac:dyDescent="0.25">
      <c r="A3" s="439" t="s">
        <v>2</v>
      </c>
      <c r="B3" s="440"/>
      <c r="C3" s="440"/>
      <c r="D3" s="440"/>
      <c r="E3" s="440"/>
      <c r="F3" s="440"/>
      <c r="G3" s="440"/>
      <c r="H3" s="207"/>
      <c r="K3" s="15" t="s">
        <v>3</v>
      </c>
      <c r="L3" s="16">
        <f>VLOOKUP(BarselsfondenTilskud!B8,Dagpengesatser!A1:C52,3,FALSE)</f>
        <v>22576.5</v>
      </c>
      <c r="O3" s="11"/>
      <c r="P3" s="11"/>
      <c r="Q3" s="11"/>
      <c r="R3" s="11"/>
      <c r="S3" s="11"/>
      <c r="T3" s="11"/>
      <c r="U3" s="11"/>
      <c r="V3" s="11"/>
      <c r="W3" s="11"/>
      <c r="X3" s="11"/>
      <c r="Y3" s="11"/>
      <c r="Z3" s="11"/>
      <c r="AA3" s="11"/>
      <c r="AB3" s="11"/>
      <c r="AC3" s="11"/>
      <c r="AD3" s="11"/>
      <c r="AE3" s="11"/>
      <c r="AF3" s="11"/>
      <c r="AG3" s="11"/>
      <c r="AH3" s="11"/>
      <c r="AI3" s="11"/>
      <c r="AJ3" s="11"/>
      <c r="AK3" s="11"/>
      <c r="AL3" s="11"/>
    </row>
    <row r="4" spans="1:38" ht="17.25" customHeight="1" x14ac:dyDescent="0.25">
      <c r="A4" s="17"/>
      <c r="B4" s="18"/>
      <c r="C4" s="18"/>
      <c r="D4" s="18"/>
      <c r="E4" s="18"/>
      <c r="F4" s="18"/>
      <c r="G4" s="210"/>
      <c r="H4" s="10"/>
      <c r="K4" s="19"/>
      <c r="L4" s="20"/>
      <c r="O4" s="11"/>
      <c r="P4" s="11"/>
      <c r="Q4" s="11"/>
      <c r="R4" s="11"/>
      <c r="S4" s="11"/>
      <c r="T4" s="11"/>
      <c r="U4" s="11"/>
      <c r="V4" s="11"/>
      <c r="W4" s="11"/>
      <c r="X4" s="11"/>
      <c r="Y4" s="11"/>
      <c r="Z4" s="11"/>
      <c r="AA4" s="11"/>
      <c r="AB4" s="11"/>
      <c r="AC4" s="11"/>
      <c r="AD4" s="11"/>
      <c r="AE4" s="11"/>
      <c r="AF4" s="11"/>
      <c r="AG4" s="11"/>
      <c r="AH4" s="11"/>
      <c r="AI4" s="11"/>
      <c r="AJ4" s="11"/>
      <c r="AK4" s="11"/>
      <c r="AL4" s="11"/>
    </row>
    <row r="5" spans="1:38" ht="17.25" customHeight="1" x14ac:dyDescent="0.25">
      <c r="A5" s="312" t="s">
        <v>4</v>
      </c>
      <c r="B5" s="313"/>
      <c r="C5" s="313"/>
      <c r="D5" s="313"/>
      <c r="E5" s="313"/>
      <c r="F5" s="313"/>
      <c r="G5" s="314"/>
      <c r="H5" s="10"/>
      <c r="K5" s="21"/>
      <c r="L5" s="22" t="s">
        <v>5</v>
      </c>
      <c r="O5" s="11"/>
      <c r="P5" s="11"/>
      <c r="Q5" s="11"/>
      <c r="R5" s="11"/>
      <c r="S5" s="11"/>
      <c r="T5" s="11"/>
      <c r="U5" s="11"/>
      <c r="V5" s="11"/>
      <c r="W5" s="11"/>
      <c r="X5" s="11"/>
      <c r="Y5" s="11"/>
      <c r="Z5" s="11"/>
      <c r="AA5" s="11"/>
      <c r="AB5" s="11"/>
      <c r="AC5" s="11"/>
      <c r="AD5" s="11"/>
      <c r="AE5" s="11"/>
      <c r="AF5" s="11"/>
      <c r="AG5" s="11"/>
      <c r="AH5" s="11"/>
      <c r="AI5" s="11"/>
      <c r="AJ5" s="11"/>
      <c r="AK5" s="11"/>
      <c r="AL5" s="11"/>
    </row>
    <row r="6" spans="1:38" ht="17.25" customHeight="1" x14ac:dyDescent="0.25">
      <c r="A6" s="23"/>
      <c r="B6" s="10"/>
      <c r="C6" s="10"/>
      <c r="D6" s="10"/>
      <c r="E6" s="10"/>
      <c r="F6" s="10"/>
      <c r="G6" s="208"/>
      <c r="H6" s="10"/>
      <c r="I6" s="11"/>
      <c r="J6" s="11"/>
      <c r="K6" s="25"/>
      <c r="L6" s="11" t="s">
        <v>6</v>
      </c>
      <c r="O6" s="11"/>
      <c r="P6" s="11"/>
      <c r="Q6" s="11"/>
      <c r="R6" s="11"/>
      <c r="S6" s="11"/>
      <c r="T6" s="11"/>
      <c r="U6" s="11"/>
      <c r="V6" s="11"/>
      <c r="W6" s="11"/>
      <c r="X6" s="11"/>
      <c r="Y6" s="11"/>
      <c r="Z6" s="11"/>
      <c r="AA6" s="11"/>
      <c r="AB6" s="11"/>
      <c r="AC6" s="11"/>
      <c r="AD6" s="11"/>
      <c r="AE6" s="11"/>
      <c r="AF6" s="11"/>
      <c r="AG6" s="11"/>
      <c r="AH6" s="11"/>
      <c r="AI6" s="11"/>
      <c r="AJ6" s="11"/>
      <c r="AK6" s="11"/>
      <c r="AL6" s="11"/>
    </row>
    <row r="7" spans="1:38" ht="17.25" customHeight="1" x14ac:dyDescent="0.25">
      <c r="A7" s="26"/>
      <c r="B7" s="10"/>
      <c r="C7" s="10"/>
      <c r="D7" s="10"/>
      <c r="E7" s="10"/>
      <c r="F7" s="10"/>
      <c r="G7" s="208"/>
      <c r="H7" s="10"/>
      <c r="I7" s="11"/>
      <c r="J7" s="11"/>
      <c r="K7" s="27" t="s">
        <v>7</v>
      </c>
      <c r="L7" s="11" t="s">
        <v>8</v>
      </c>
      <c r="O7" s="11"/>
      <c r="P7" s="11"/>
      <c r="Q7" s="11"/>
      <c r="R7" s="11"/>
      <c r="S7" s="11"/>
      <c r="T7" s="11"/>
      <c r="U7" s="11"/>
      <c r="V7" s="11"/>
      <c r="W7" s="11"/>
      <c r="X7" s="11"/>
      <c r="Y7" s="11"/>
      <c r="Z7" s="11"/>
      <c r="AA7" s="11"/>
      <c r="AB7" s="11"/>
      <c r="AC7" s="11"/>
      <c r="AD7" s="11"/>
      <c r="AE7" s="11"/>
      <c r="AF7" s="11"/>
      <c r="AG7" s="11"/>
      <c r="AH7" s="11"/>
      <c r="AI7" s="11"/>
      <c r="AJ7" s="11"/>
      <c r="AK7" s="11"/>
      <c r="AL7" s="11"/>
    </row>
    <row r="8" spans="1:38" ht="17.25" customHeight="1" x14ac:dyDescent="0.3">
      <c r="A8" s="28" t="s">
        <v>9</v>
      </c>
      <c r="B8" s="285">
        <v>2026</v>
      </c>
      <c r="C8" s="29"/>
      <c r="D8" s="12"/>
      <c r="E8" s="30"/>
      <c r="F8" s="30" t="s">
        <v>10</v>
      </c>
      <c r="G8" s="209">
        <f>VLOOKUP(B8,Dagpengesatser!A1:B52,2,FALSE)</f>
        <v>1038</v>
      </c>
      <c r="H8" s="10"/>
      <c r="I8" s="31"/>
      <c r="J8" s="31"/>
      <c r="K8" s="10"/>
      <c r="L8" s="11" t="s">
        <v>11</v>
      </c>
      <c r="N8" s="11"/>
      <c r="O8" s="31"/>
      <c r="P8" s="31"/>
      <c r="Q8" s="31"/>
      <c r="R8" s="31"/>
      <c r="S8" s="11"/>
      <c r="T8" s="31"/>
      <c r="U8" s="31"/>
      <c r="V8" s="31"/>
      <c r="W8" s="31"/>
      <c r="X8" s="31"/>
      <c r="Y8" s="31"/>
      <c r="Z8" s="31"/>
      <c r="AA8" s="31"/>
      <c r="AB8" s="11"/>
      <c r="AC8" s="11"/>
      <c r="AD8" s="11"/>
      <c r="AE8" s="11"/>
      <c r="AF8" s="11"/>
      <c r="AG8" s="11"/>
      <c r="AH8" s="11"/>
      <c r="AI8" s="11"/>
      <c r="AJ8" s="11"/>
      <c r="AK8" s="11"/>
      <c r="AL8" s="11"/>
    </row>
    <row r="9" spans="1:38" ht="17.25" customHeight="1" x14ac:dyDescent="0.25">
      <c r="A9" s="23"/>
      <c r="B9" s="10"/>
      <c r="C9" s="10"/>
      <c r="D9" s="12"/>
      <c r="E9" s="12"/>
      <c r="F9" s="10"/>
      <c r="G9" s="208"/>
      <c r="H9" s="10"/>
      <c r="I9" s="31"/>
      <c r="J9" s="31"/>
      <c r="K9" s="32"/>
      <c r="L9" s="8" t="s">
        <v>12</v>
      </c>
      <c r="N9" s="11"/>
      <c r="O9" s="31"/>
      <c r="P9" s="31"/>
      <c r="Q9" s="31"/>
      <c r="R9" s="31"/>
      <c r="S9" s="11"/>
      <c r="T9" s="31"/>
      <c r="U9" s="31"/>
      <c r="V9" s="31"/>
      <c r="W9" s="31"/>
      <c r="X9" s="31"/>
      <c r="Y9" s="31"/>
      <c r="Z9" s="31"/>
      <c r="AA9" s="31"/>
      <c r="AB9" s="11"/>
      <c r="AC9" s="11"/>
      <c r="AD9" s="11"/>
      <c r="AE9" s="11"/>
      <c r="AF9" s="11"/>
      <c r="AG9" s="11"/>
      <c r="AH9" s="11"/>
      <c r="AI9" s="11"/>
      <c r="AJ9" s="11"/>
      <c r="AK9" s="11"/>
      <c r="AL9" s="11"/>
    </row>
    <row r="10" spans="1:38" ht="17.25" customHeight="1" x14ac:dyDescent="0.25">
      <c r="A10" s="33"/>
      <c r="B10" s="10"/>
      <c r="C10" s="10"/>
      <c r="D10" s="300"/>
      <c r="E10" s="300"/>
      <c r="F10" s="10"/>
      <c r="G10" s="24"/>
      <c r="H10" s="10"/>
      <c r="I10" s="31"/>
      <c r="J10" s="31"/>
      <c r="K10" s="35"/>
      <c r="L10" s="8" t="s">
        <v>13</v>
      </c>
      <c r="N10" s="11"/>
      <c r="O10" s="31"/>
      <c r="P10" s="31"/>
      <c r="Q10" s="31"/>
      <c r="R10" s="31"/>
      <c r="S10" s="11"/>
      <c r="T10" s="31"/>
      <c r="U10" s="31"/>
      <c r="V10" s="31"/>
      <c r="W10" s="31"/>
      <c r="X10" s="31"/>
      <c r="Y10" s="31"/>
      <c r="Z10" s="31"/>
      <c r="AA10" s="31"/>
      <c r="AB10" s="11"/>
      <c r="AC10" s="11"/>
      <c r="AD10" s="11"/>
      <c r="AE10" s="11"/>
      <c r="AF10" s="11"/>
      <c r="AG10" s="11"/>
      <c r="AH10" s="11"/>
      <c r="AI10" s="11"/>
      <c r="AJ10" s="11"/>
      <c r="AK10" s="11"/>
      <c r="AL10" s="11"/>
    </row>
    <row r="11" spans="1:38" ht="17.25" customHeight="1" x14ac:dyDescent="0.25">
      <c r="A11" s="323" t="s">
        <v>14</v>
      </c>
      <c r="B11" s="324"/>
      <c r="C11" s="324"/>
      <c r="D11" s="34"/>
      <c r="E11" s="34"/>
      <c r="F11" s="10"/>
      <c r="G11" s="24"/>
      <c r="H11" s="10"/>
      <c r="I11" s="31"/>
      <c r="J11" s="31"/>
      <c r="N11" s="11"/>
      <c r="O11" s="31"/>
      <c r="P11" s="31"/>
      <c r="Q11" s="31"/>
      <c r="R11" s="31"/>
      <c r="S11" s="11"/>
      <c r="T11" s="31"/>
      <c r="U11" s="31"/>
      <c r="V11" s="31"/>
      <c r="W11" s="31"/>
      <c r="X11" s="31"/>
      <c r="Y11" s="31"/>
      <c r="Z11" s="31"/>
      <c r="AA11" s="31"/>
      <c r="AB11" s="11"/>
      <c r="AC11" s="11"/>
      <c r="AD11" s="11"/>
      <c r="AE11" s="11"/>
      <c r="AF11" s="11"/>
      <c r="AG11" s="11"/>
      <c r="AH11" s="11"/>
      <c r="AI11" s="11"/>
      <c r="AJ11" s="11"/>
      <c r="AK11" s="11"/>
      <c r="AL11" s="11"/>
    </row>
    <row r="12" spans="1:38" ht="17.25" customHeight="1" x14ac:dyDescent="0.25">
      <c r="A12" s="23"/>
      <c r="B12" s="12"/>
      <c r="C12" s="12"/>
      <c r="D12" s="12"/>
      <c r="E12" s="36"/>
      <c r="F12" s="37"/>
      <c r="G12" s="38"/>
      <c r="H12" s="10"/>
      <c r="I12" s="31"/>
      <c r="J12" s="31"/>
      <c r="N12" s="11"/>
      <c r="O12" s="31"/>
      <c r="P12" s="31"/>
      <c r="Q12" s="31"/>
      <c r="R12" s="31"/>
      <c r="S12" s="11"/>
      <c r="T12" s="31"/>
      <c r="U12" s="31"/>
      <c r="V12" s="31"/>
      <c r="W12" s="31"/>
      <c r="X12" s="31"/>
      <c r="Y12" s="31"/>
      <c r="Z12" s="31"/>
      <c r="AA12" s="31"/>
      <c r="AB12" s="11"/>
      <c r="AC12" s="11"/>
      <c r="AD12" s="11"/>
      <c r="AE12" s="11"/>
      <c r="AF12" s="11"/>
      <c r="AG12" s="11"/>
      <c r="AH12" s="11"/>
      <c r="AI12" s="11"/>
      <c r="AJ12" s="11"/>
      <c r="AK12" s="11"/>
      <c r="AL12" s="11"/>
    </row>
    <row r="13" spans="1:38" ht="17.25" customHeight="1" x14ac:dyDescent="0.25">
      <c r="A13" s="340" t="s">
        <v>15</v>
      </c>
      <c r="B13" s="340"/>
      <c r="C13" s="340"/>
      <c r="D13" s="374"/>
      <c r="E13" s="375"/>
      <c r="F13" s="375"/>
      <c r="G13" s="376"/>
      <c r="H13" s="39"/>
      <c r="I13" s="31"/>
      <c r="J13" s="31"/>
      <c r="N13" s="11"/>
      <c r="O13" s="31"/>
      <c r="P13" s="31"/>
      <c r="Q13" s="31"/>
      <c r="R13" s="31"/>
      <c r="S13" s="11"/>
      <c r="T13" s="31"/>
      <c r="U13" s="31"/>
      <c r="V13" s="31"/>
      <c r="W13" s="31"/>
      <c r="X13" s="31"/>
      <c r="Y13" s="31"/>
      <c r="Z13" s="31"/>
      <c r="AA13" s="31"/>
      <c r="AB13" s="11"/>
      <c r="AC13" s="11"/>
      <c r="AD13" s="11"/>
      <c r="AE13" s="11"/>
      <c r="AF13" s="11"/>
      <c r="AG13" s="11"/>
      <c r="AH13" s="11"/>
      <c r="AI13" s="11"/>
      <c r="AJ13" s="11"/>
      <c r="AK13" s="11"/>
      <c r="AL13" s="11"/>
    </row>
    <row r="14" spans="1:38" ht="17.25" customHeight="1" x14ac:dyDescent="0.25">
      <c r="A14" s="340" t="s">
        <v>16</v>
      </c>
      <c r="B14" s="340"/>
      <c r="C14" s="340"/>
      <c r="D14" s="374"/>
      <c r="E14" s="375"/>
      <c r="F14" s="375"/>
      <c r="G14" s="376"/>
      <c r="H14" s="39"/>
      <c r="I14" s="31"/>
      <c r="J14" s="31"/>
      <c r="K14" s="242" t="s">
        <v>17</v>
      </c>
      <c r="L14" s="62"/>
      <c r="M14" s="56"/>
      <c r="N14" s="56"/>
      <c r="O14" s="31"/>
      <c r="P14" s="31"/>
      <c r="Q14" s="31"/>
      <c r="R14" s="31"/>
      <c r="S14" s="11"/>
      <c r="T14" s="31"/>
      <c r="U14" s="31"/>
      <c r="V14" s="31"/>
      <c r="W14" s="31"/>
      <c r="X14" s="31"/>
      <c r="Y14" s="31"/>
      <c r="Z14" s="31"/>
      <c r="AA14" s="31"/>
      <c r="AB14" s="11"/>
      <c r="AC14" s="11"/>
      <c r="AD14" s="11"/>
      <c r="AE14" s="11"/>
      <c r="AF14" s="11"/>
      <c r="AG14" s="11"/>
      <c r="AH14" s="11"/>
      <c r="AI14" s="11"/>
      <c r="AJ14" s="11"/>
      <c r="AK14" s="11"/>
      <c r="AL14" s="11"/>
    </row>
    <row r="15" spans="1:38" ht="17.25" customHeight="1" x14ac:dyDescent="0.25">
      <c r="A15" s="340" t="s">
        <v>18</v>
      </c>
      <c r="B15" s="340"/>
      <c r="C15" s="340"/>
      <c r="D15" s="377"/>
      <c r="E15" s="378"/>
      <c r="F15" s="378"/>
      <c r="G15" s="379"/>
      <c r="H15" s="39"/>
      <c r="I15" s="31"/>
      <c r="J15" s="31"/>
      <c r="K15" s="246" t="s">
        <v>19</v>
      </c>
      <c r="L15" s="62"/>
      <c r="M15" s="56"/>
      <c r="N15" s="56"/>
      <c r="O15" s="31"/>
      <c r="P15" s="31"/>
      <c r="Q15" s="31"/>
      <c r="R15" s="31"/>
      <c r="S15" s="11"/>
      <c r="T15" s="31"/>
      <c r="U15" s="31"/>
      <c r="V15" s="31"/>
      <c r="W15" s="31"/>
      <c r="X15" s="31"/>
      <c r="Y15" s="31"/>
      <c r="Z15" s="31"/>
      <c r="AA15" s="31"/>
      <c r="AB15" s="11"/>
      <c r="AC15" s="11"/>
      <c r="AD15" s="11"/>
      <c r="AE15" s="11"/>
      <c r="AF15" s="11"/>
      <c r="AG15" s="11"/>
      <c r="AH15" s="11"/>
      <c r="AI15" s="11"/>
      <c r="AJ15" s="11"/>
      <c r="AK15" s="11"/>
      <c r="AL15" s="11"/>
    </row>
    <row r="16" spans="1:38" ht="17.25" customHeight="1" x14ac:dyDescent="0.25">
      <c r="A16" s="30"/>
      <c r="B16" s="30"/>
      <c r="C16" s="30"/>
      <c r="D16" s="179"/>
      <c r="E16" s="179"/>
      <c r="F16" s="179"/>
      <c r="G16" s="180"/>
      <c r="H16" s="39"/>
      <c r="I16" s="31"/>
      <c r="J16" s="31"/>
      <c r="K16" s="243" t="s">
        <v>20</v>
      </c>
      <c r="L16" s="243" t="s">
        <v>21</v>
      </c>
      <c r="M16" s="56"/>
      <c r="N16" s="56"/>
      <c r="O16" s="31"/>
      <c r="P16" s="31"/>
      <c r="Q16" s="31"/>
      <c r="R16" s="31"/>
      <c r="S16" s="11"/>
      <c r="T16" s="31"/>
      <c r="U16" s="31"/>
      <c r="V16" s="31"/>
      <c r="W16" s="31"/>
      <c r="X16" s="31"/>
      <c r="Y16" s="31"/>
      <c r="Z16" s="31"/>
      <c r="AA16" s="31"/>
      <c r="AB16" s="11"/>
      <c r="AC16" s="11"/>
      <c r="AD16" s="11"/>
      <c r="AE16" s="11"/>
      <c r="AF16" s="11"/>
      <c r="AG16" s="11"/>
      <c r="AH16" s="11"/>
      <c r="AI16" s="11"/>
      <c r="AJ16" s="11"/>
      <c r="AK16" s="11"/>
      <c r="AL16" s="11"/>
    </row>
    <row r="17" spans="1:38" ht="17.25" customHeight="1" x14ac:dyDescent="0.25">
      <c r="A17" s="324" t="s">
        <v>22</v>
      </c>
      <c r="B17" s="324"/>
      <c r="C17" s="324"/>
      <c r="D17" s="181"/>
      <c r="E17" s="181"/>
      <c r="F17" s="181"/>
      <c r="G17" s="182"/>
      <c r="H17" s="39"/>
      <c r="I17" s="31"/>
      <c r="J17" s="31"/>
      <c r="K17" s="244">
        <f>DATE($B$8,1,1)</f>
        <v>46023</v>
      </c>
      <c r="L17" s="245">
        <f>EOMONTH(K17,11)</f>
        <v>46387</v>
      </c>
      <c r="M17" s="56"/>
      <c r="N17" s="56"/>
      <c r="O17" s="31"/>
      <c r="P17" s="31"/>
      <c r="Q17" s="31"/>
      <c r="R17" s="31"/>
      <c r="S17" s="11"/>
      <c r="T17" s="31"/>
      <c r="U17" s="31"/>
      <c r="V17" s="31"/>
      <c r="W17" s="31"/>
      <c r="X17" s="31"/>
      <c r="Y17" s="31"/>
      <c r="Z17" s="31"/>
      <c r="AA17" s="31"/>
      <c r="AB17" s="11"/>
      <c r="AC17" s="11"/>
      <c r="AD17" s="11"/>
      <c r="AE17" s="11"/>
      <c r="AF17" s="11"/>
      <c r="AG17" s="11"/>
      <c r="AH17" s="11"/>
      <c r="AI17" s="11"/>
      <c r="AJ17" s="11"/>
      <c r="AK17" s="11"/>
      <c r="AL17" s="11"/>
    </row>
    <row r="18" spans="1:38" ht="17.25" customHeight="1" x14ac:dyDescent="0.25">
      <c r="A18" s="340" t="s">
        <v>23</v>
      </c>
      <c r="B18" s="340"/>
      <c r="C18" s="340"/>
      <c r="D18" s="374"/>
      <c r="E18" s="375"/>
      <c r="F18" s="375"/>
      <c r="G18" s="376"/>
      <c r="H18" s="39"/>
      <c r="I18" s="31"/>
      <c r="J18" s="31"/>
      <c r="K18" s="31"/>
      <c r="M18" s="31"/>
      <c r="N18" s="11"/>
      <c r="O18" s="31"/>
      <c r="P18" s="31"/>
      <c r="Q18" s="31"/>
      <c r="R18" s="31"/>
      <c r="S18" s="11"/>
      <c r="T18" s="40"/>
      <c r="U18" s="31"/>
      <c r="V18" s="31"/>
      <c r="W18" s="31"/>
      <c r="X18" s="31"/>
      <c r="Y18" s="31"/>
      <c r="Z18" s="31"/>
      <c r="AA18" s="31"/>
      <c r="AB18" s="11"/>
      <c r="AC18" s="11"/>
      <c r="AD18" s="11"/>
      <c r="AE18" s="11"/>
      <c r="AF18" s="11"/>
      <c r="AG18" s="11"/>
      <c r="AH18" s="11"/>
      <c r="AI18" s="11"/>
      <c r="AJ18" s="11"/>
      <c r="AK18" s="11"/>
      <c r="AL18" s="11"/>
    </row>
    <row r="19" spans="1:38" ht="17.25" customHeight="1" x14ac:dyDescent="0.25">
      <c r="A19" s="341" t="s">
        <v>24</v>
      </c>
      <c r="B19" s="342"/>
      <c r="C19" s="342"/>
      <c r="D19" s="374"/>
      <c r="E19" s="375"/>
      <c r="F19" s="375"/>
      <c r="G19" s="376"/>
      <c r="H19" s="39"/>
      <c r="I19" s="31"/>
      <c r="J19" s="31"/>
      <c r="K19" s="31"/>
      <c r="L19" s="339"/>
      <c r="M19" s="339"/>
      <c r="N19" s="339"/>
      <c r="O19" s="31"/>
      <c r="P19" s="31"/>
      <c r="Q19" s="31"/>
      <c r="R19" s="31"/>
      <c r="S19" s="11"/>
      <c r="T19" s="31"/>
      <c r="U19" s="31"/>
      <c r="V19" s="31"/>
      <c r="W19" s="31"/>
      <c r="X19" s="31"/>
      <c r="Y19" s="31"/>
      <c r="Z19" s="31"/>
      <c r="AA19" s="31"/>
      <c r="AB19" s="11"/>
      <c r="AC19" s="11"/>
      <c r="AD19" s="11"/>
      <c r="AE19" s="11"/>
      <c r="AF19" s="11"/>
      <c r="AG19" s="11"/>
      <c r="AH19" s="11"/>
      <c r="AI19" s="11"/>
      <c r="AJ19" s="11"/>
      <c r="AK19" s="11"/>
      <c r="AL19" s="11"/>
    </row>
    <row r="20" spans="1:38" ht="17.25" customHeight="1" x14ac:dyDescent="0.25">
      <c r="A20" s="42"/>
      <c r="B20" s="30"/>
      <c r="C20" s="30"/>
      <c r="D20" s="43"/>
      <c r="E20" s="43"/>
      <c r="F20" s="43"/>
      <c r="G20" s="44"/>
      <c r="H20" s="39"/>
      <c r="I20" s="31"/>
      <c r="J20" s="31"/>
      <c r="K20" s="31"/>
      <c r="L20" s="339"/>
      <c r="M20" s="339"/>
      <c r="N20" s="339"/>
      <c r="O20" s="31"/>
      <c r="P20" s="31"/>
      <c r="Q20" s="31"/>
      <c r="R20" s="31"/>
      <c r="S20" s="11"/>
      <c r="T20" s="31"/>
      <c r="U20" s="31"/>
      <c r="V20" s="31"/>
      <c r="W20" s="31"/>
      <c r="X20" s="31"/>
      <c r="Y20" s="31"/>
      <c r="Z20" s="31"/>
      <c r="AA20" s="31"/>
      <c r="AB20" s="11"/>
      <c r="AC20" s="11"/>
      <c r="AD20" s="11"/>
      <c r="AE20" s="11"/>
      <c r="AF20" s="11"/>
      <c r="AG20" s="11"/>
      <c r="AH20" s="11"/>
      <c r="AI20" s="11"/>
      <c r="AJ20" s="11"/>
      <c r="AK20" s="11"/>
      <c r="AL20" s="11"/>
    </row>
    <row r="21" spans="1:38" ht="17.25" customHeight="1" x14ac:dyDescent="0.25">
      <c r="A21" s="323" t="s">
        <v>25</v>
      </c>
      <c r="B21" s="324"/>
      <c r="C21" s="324"/>
      <c r="D21" s="30"/>
      <c r="E21" s="30"/>
      <c r="F21" s="30"/>
      <c r="G21" s="45"/>
      <c r="H21" s="46"/>
      <c r="I21" s="31"/>
      <c r="J21" s="31"/>
      <c r="K21" s="31"/>
      <c r="L21" s="339"/>
      <c r="M21" s="339"/>
      <c r="N21" s="339"/>
      <c r="O21" s="31"/>
      <c r="P21" s="31"/>
      <c r="Q21" s="31"/>
      <c r="R21" s="31"/>
      <c r="S21" s="11"/>
      <c r="T21" s="31"/>
      <c r="U21" s="31"/>
      <c r="V21" s="31"/>
      <c r="W21" s="31"/>
      <c r="X21" s="31"/>
      <c r="Y21" s="31"/>
      <c r="Z21" s="31"/>
      <c r="AA21" s="31"/>
      <c r="AB21" s="11"/>
      <c r="AC21" s="11"/>
      <c r="AD21" s="11"/>
      <c r="AE21" s="11"/>
      <c r="AF21" s="11"/>
      <c r="AG21" s="11"/>
      <c r="AH21" s="11"/>
      <c r="AI21" s="11"/>
      <c r="AJ21" s="11"/>
      <c r="AK21" s="11"/>
      <c r="AL21" s="11"/>
    </row>
    <row r="22" spans="1:38" ht="17.25" customHeight="1" x14ac:dyDescent="0.25">
      <c r="A22" s="42"/>
      <c r="B22" s="30"/>
      <c r="C22" s="30"/>
      <c r="D22" s="30"/>
      <c r="E22" s="30"/>
      <c r="F22" s="30"/>
      <c r="G22" s="45"/>
      <c r="H22" s="46"/>
      <c r="I22" s="31"/>
      <c r="J22" s="31"/>
      <c r="K22" s="31"/>
      <c r="L22" s="41"/>
      <c r="M22" s="41"/>
      <c r="N22" s="41"/>
      <c r="O22" s="31"/>
      <c r="P22" s="31"/>
      <c r="Q22" s="31"/>
      <c r="R22" s="31"/>
      <c r="S22" s="11"/>
      <c r="T22" s="31"/>
      <c r="U22" s="31"/>
      <c r="V22" s="31"/>
      <c r="W22" s="31"/>
      <c r="X22" s="31"/>
      <c r="Y22" s="31"/>
      <c r="Z22" s="31"/>
      <c r="AA22" s="31"/>
      <c r="AB22" s="11"/>
      <c r="AC22" s="11"/>
      <c r="AD22" s="11"/>
      <c r="AE22" s="11"/>
      <c r="AF22" s="11"/>
      <c r="AG22" s="11"/>
      <c r="AH22" s="11"/>
      <c r="AI22" s="11"/>
      <c r="AJ22" s="11"/>
      <c r="AK22" s="11"/>
      <c r="AL22" s="11"/>
    </row>
    <row r="23" spans="1:38" ht="17.25" customHeight="1" x14ac:dyDescent="0.3">
      <c r="A23" s="28" t="s">
        <v>26</v>
      </c>
      <c r="B23" s="30"/>
      <c r="C23" s="30"/>
      <c r="D23" s="298" t="s">
        <v>211</v>
      </c>
      <c r="E23" s="299"/>
      <c r="F23" s="30"/>
      <c r="G23" s="45"/>
      <c r="H23" s="46"/>
      <c r="I23" s="31"/>
      <c r="J23" s="31"/>
      <c r="K23" s="31"/>
      <c r="L23" s="41"/>
      <c r="M23" s="41"/>
      <c r="N23" s="41"/>
      <c r="O23" s="31"/>
      <c r="P23" s="31"/>
      <c r="Q23" s="31"/>
      <c r="R23" s="31"/>
      <c r="S23" s="11"/>
      <c r="T23" s="31"/>
      <c r="U23" s="31"/>
      <c r="V23" s="31"/>
      <c r="W23" s="31"/>
      <c r="X23" s="31"/>
      <c r="Y23" s="31"/>
      <c r="Z23" s="31"/>
      <c r="AA23" s="31"/>
      <c r="AB23" s="11"/>
      <c r="AC23" s="11"/>
      <c r="AD23" s="11"/>
      <c r="AE23" s="11"/>
      <c r="AF23" s="11"/>
      <c r="AG23" s="11"/>
      <c r="AH23" s="11"/>
      <c r="AI23" s="11"/>
      <c r="AJ23" s="11"/>
      <c r="AK23" s="11"/>
      <c r="AL23" s="11"/>
    </row>
    <row r="24" spans="1:38" ht="17.25" customHeight="1" x14ac:dyDescent="0.25">
      <c r="A24" s="47"/>
      <c r="B24" s="48"/>
      <c r="C24" s="48"/>
      <c r="D24" s="49"/>
      <c r="E24" s="49"/>
      <c r="F24" s="49"/>
      <c r="G24" s="50"/>
      <c r="H24" s="46"/>
      <c r="I24" s="31"/>
      <c r="J24" s="31"/>
      <c r="K24" s="31"/>
      <c r="L24" s="41"/>
      <c r="M24" s="41"/>
      <c r="N24" s="41"/>
      <c r="O24" s="31"/>
      <c r="P24" s="31"/>
      <c r="Q24" s="31"/>
      <c r="R24" s="31"/>
      <c r="S24" s="11"/>
      <c r="T24" s="31"/>
      <c r="U24" s="31"/>
      <c r="V24" s="31"/>
      <c r="W24" s="31"/>
      <c r="X24" s="31"/>
      <c r="Y24" s="31"/>
      <c r="Z24" s="31"/>
      <c r="AA24" s="31"/>
      <c r="AB24" s="11"/>
      <c r="AC24" s="11"/>
      <c r="AD24" s="11"/>
      <c r="AE24" s="11"/>
      <c r="AF24" s="11"/>
      <c r="AG24" s="11"/>
      <c r="AH24" s="11"/>
      <c r="AI24" s="11"/>
      <c r="AJ24" s="11"/>
      <c r="AK24" s="11"/>
      <c r="AL24" s="11"/>
    </row>
    <row r="25" spans="1:38" ht="17.25" customHeight="1" x14ac:dyDescent="0.25">
      <c r="A25" s="340" t="s">
        <v>27</v>
      </c>
      <c r="B25" s="340"/>
      <c r="C25" s="340"/>
      <c r="D25" s="380"/>
      <c r="E25" s="381"/>
      <c r="F25" s="381"/>
      <c r="G25" s="382"/>
      <c r="H25" s="39"/>
      <c r="I25" s="31"/>
      <c r="J25" s="31"/>
      <c r="K25" s="31"/>
      <c r="L25" s="31"/>
      <c r="M25" s="31"/>
      <c r="N25" s="11"/>
      <c r="O25" s="31"/>
      <c r="P25" s="31"/>
      <c r="Q25" s="31"/>
      <c r="R25" s="31"/>
      <c r="S25" s="11"/>
      <c r="T25" s="11"/>
      <c r="U25" s="31"/>
      <c r="V25" s="31"/>
      <c r="W25" s="31"/>
      <c r="X25" s="31"/>
      <c r="Y25" s="31"/>
      <c r="Z25" s="31"/>
      <c r="AA25" s="31"/>
      <c r="AB25" s="11"/>
      <c r="AC25" s="11"/>
      <c r="AD25" s="11"/>
      <c r="AE25" s="11"/>
      <c r="AF25" s="11"/>
      <c r="AG25" s="11"/>
      <c r="AH25" s="11"/>
      <c r="AI25" s="11"/>
      <c r="AJ25" s="11"/>
      <c r="AK25" s="11"/>
      <c r="AL25" s="11"/>
    </row>
    <row r="26" spans="1:38" ht="17.25" customHeight="1" x14ac:dyDescent="0.25">
      <c r="A26" s="340" t="s">
        <v>28</v>
      </c>
      <c r="B26" s="340"/>
      <c r="C26" s="340"/>
      <c r="D26" s="383"/>
      <c r="E26" s="384"/>
      <c r="F26" s="384"/>
      <c r="G26" s="385"/>
      <c r="H26" s="39"/>
      <c r="I26" s="31"/>
      <c r="J26" s="31"/>
      <c r="K26" s="51"/>
      <c r="L26" s="31"/>
      <c r="M26" s="31"/>
      <c r="N26" s="11"/>
      <c r="O26" s="31"/>
      <c r="P26" s="31"/>
      <c r="Q26" s="31"/>
      <c r="R26" s="31"/>
      <c r="S26" s="11"/>
      <c r="T26" s="31"/>
      <c r="U26" s="31"/>
      <c r="V26" s="31"/>
      <c r="W26" s="31"/>
      <c r="X26" s="31"/>
      <c r="Y26" s="31"/>
      <c r="Z26" s="31"/>
      <c r="AA26" s="31"/>
      <c r="AB26" s="11"/>
      <c r="AC26" s="11"/>
      <c r="AD26" s="11"/>
      <c r="AE26" s="11"/>
      <c r="AF26" s="11"/>
      <c r="AG26" s="11"/>
      <c r="AH26" s="11"/>
      <c r="AI26" s="11"/>
      <c r="AJ26" s="11"/>
      <c r="AK26" s="11"/>
      <c r="AL26" s="11"/>
    </row>
    <row r="27" spans="1:38" ht="17.25" customHeight="1" x14ac:dyDescent="0.25">
      <c r="A27" s="340" t="s">
        <v>29</v>
      </c>
      <c r="B27" s="340"/>
      <c r="C27" s="340"/>
      <c r="D27" s="344"/>
      <c r="E27" s="345"/>
      <c r="F27" s="345"/>
      <c r="G27" s="346"/>
      <c r="H27" s="39"/>
      <c r="I27" s="31"/>
      <c r="J27" s="31"/>
      <c r="K27" s="52"/>
      <c r="L27" s="51"/>
      <c r="M27" s="31"/>
      <c r="N27" s="11"/>
      <c r="O27" s="31"/>
      <c r="P27" s="31"/>
      <c r="Q27" s="31"/>
      <c r="R27" s="31"/>
      <c r="S27" s="11"/>
      <c r="T27" s="31"/>
      <c r="U27" s="31"/>
      <c r="V27" s="31"/>
      <c r="W27" s="31"/>
      <c r="X27" s="31"/>
      <c r="Y27" s="31"/>
      <c r="Z27" s="31"/>
      <c r="AA27" s="31"/>
      <c r="AB27" s="11"/>
      <c r="AC27" s="11"/>
      <c r="AD27" s="11"/>
      <c r="AE27" s="11"/>
      <c r="AF27" s="11"/>
      <c r="AG27" s="11"/>
      <c r="AH27" s="11"/>
      <c r="AI27" s="11"/>
      <c r="AJ27" s="11"/>
      <c r="AK27" s="11"/>
      <c r="AL27" s="11"/>
    </row>
    <row r="28" spans="1:38" ht="15" x14ac:dyDescent="0.25">
      <c r="A28" s="343" t="s">
        <v>208</v>
      </c>
      <c r="B28" s="343"/>
      <c r="C28" s="343"/>
      <c r="D28" s="347"/>
      <c r="E28" s="348"/>
      <c r="F28" s="348"/>
      <c r="G28" s="349"/>
      <c r="H28" s="46"/>
      <c r="I28" s="31"/>
      <c r="J28" s="31"/>
      <c r="K28" s="31"/>
      <c r="L28" s="31"/>
      <c r="M28" s="31"/>
      <c r="N28" s="11"/>
      <c r="O28" s="31"/>
      <c r="P28" s="31"/>
      <c r="Q28" s="31"/>
      <c r="R28" s="31"/>
      <c r="S28" s="11"/>
      <c r="T28" s="31"/>
      <c r="U28" s="31"/>
      <c r="V28" s="31"/>
      <c r="W28" s="31"/>
      <c r="X28" s="31"/>
      <c r="Y28" s="31"/>
      <c r="Z28" s="31"/>
      <c r="AA28" s="31"/>
      <c r="AB28" s="11"/>
      <c r="AC28" s="11"/>
      <c r="AD28" s="11"/>
      <c r="AE28" s="11"/>
      <c r="AF28" s="11"/>
      <c r="AG28" s="11"/>
      <c r="AH28" s="11"/>
      <c r="AI28" s="11"/>
      <c r="AJ28" s="11"/>
      <c r="AK28" s="11"/>
      <c r="AL28" s="11"/>
    </row>
    <row r="29" spans="1:38" ht="15" x14ac:dyDescent="0.25">
      <c r="A29" s="343" t="s">
        <v>210</v>
      </c>
      <c r="B29" s="343"/>
      <c r="C29" s="343"/>
      <c r="D29" s="347" t="s">
        <v>209</v>
      </c>
      <c r="E29" s="348"/>
      <c r="F29" s="348"/>
      <c r="G29" s="349"/>
      <c r="H29" s="46"/>
      <c r="I29" s="31"/>
      <c r="J29" s="31"/>
      <c r="K29" s="31"/>
      <c r="L29" s="31"/>
      <c r="M29" s="31"/>
      <c r="N29" s="11"/>
      <c r="O29" s="31"/>
      <c r="P29" s="31"/>
      <c r="Q29" s="31"/>
      <c r="R29" s="31"/>
      <c r="S29" s="11"/>
      <c r="T29" s="31"/>
      <c r="U29" s="31"/>
      <c r="V29" s="31"/>
      <c r="W29" s="31"/>
      <c r="X29" s="31"/>
      <c r="Y29" s="31"/>
      <c r="Z29" s="31"/>
      <c r="AA29" s="31"/>
      <c r="AB29" s="11"/>
      <c r="AC29" s="11"/>
      <c r="AD29" s="11"/>
      <c r="AE29" s="11"/>
      <c r="AF29" s="11"/>
      <c r="AG29" s="11"/>
      <c r="AH29" s="11"/>
      <c r="AI29" s="11"/>
      <c r="AJ29" s="11"/>
      <c r="AK29" s="11"/>
      <c r="AL29" s="11"/>
    </row>
    <row r="30" spans="1:38" ht="17.25" customHeight="1" x14ac:dyDescent="0.3">
      <c r="A30" s="340" t="str">
        <f>IF(D29="Nej (kun et barn)","Fødselsdato (barnet)","Fødselsdato (børnene)")</f>
        <v>Fødselsdato (barnet)</v>
      </c>
      <c r="B30" s="340"/>
      <c r="C30" s="354"/>
      <c r="D30" s="222" t="s">
        <v>30</v>
      </c>
      <c r="E30" s="214" t="s">
        <v>206</v>
      </c>
      <c r="F30" s="54" t="s">
        <v>31</v>
      </c>
      <c r="G30" s="224"/>
      <c r="H30" s="10"/>
      <c r="I30" s="31"/>
      <c r="J30" s="31"/>
      <c r="K30" s="55"/>
      <c r="L30" s="56" t="s">
        <v>32</v>
      </c>
      <c r="M30" s="353" t="s">
        <v>33</v>
      </c>
      <c r="N30" s="353"/>
      <c r="O30" s="56"/>
      <c r="P30" s="56"/>
      <c r="Q30" s="56"/>
      <c r="R30" s="56"/>
      <c r="S30" s="56"/>
      <c r="T30" s="11"/>
      <c r="U30" s="11"/>
      <c r="V30" s="11"/>
      <c r="W30" s="11"/>
      <c r="X30" s="11"/>
      <c r="Y30" s="11"/>
      <c r="Z30" s="31"/>
      <c r="AA30" s="31"/>
      <c r="AB30" s="11"/>
      <c r="AC30" s="11"/>
      <c r="AD30" s="11"/>
      <c r="AE30" s="11"/>
      <c r="AF30" s="11"/>
      <c r="AG30" s="11"/>
      <c r="AH30" s="11"/>
      <c r="AI30" s="11"/>
      <c r="AJ30" s="11"/>
      <c r="AK30" s="11"/>
      <c r="AL30" s="11"/>
    </row>
    <row r="31" spans="1:38" ht="17.25" customHeight="1" x14ac:dyDescent="0.25">
      <c r="A31" s="53" t="s">
        <v>34</v>
      </c>
      <c r="B31" s="58"/>
      <c r="C31" s="59"/>
      <c r="D31" s="222" t="s">
        <v>35</v>
      </c>
      <c r="E31" s="214" t="s">
        <v>206</v>
      </c>
      <c r="F31" s="54" t="s">
        <v>36</v>
      </c>
      <c r="G31" s="224" t="s">
        <v>206</v>
      </c>
      <c r="H31" s="10"/>
      <c r="I31" s="31"/>
      <c r="J31" s="31"/>
      <c r="K31" s="60" t="s">
        <v>37</v>
      </c>
      <c r="L31" s="61" t="str">
        <f>BarselsfondenTilskud!E31</f>
        <v>xx-xx-xxxx</v>
      </c>
      <c r="M31" s="352" t="str">
        <f>BarselsfondenTilskud!G31</f>
        <v>xx-xx-xxxx</v>
      </c>
      <c r="N31" s="352"/>
      <c r="O31" s="56" t="s">
        <v>38</v>
      </c>
      <c r="P31" s="56"/>
      <c r="Q31" s="56"/>
      <c r="R31" s="56"/>
      <c r="S31" s="62"/>
      <c r="T31" s="11"/>
      <c r="U31" s="11"/>
      <c r="V31" s="11"/>
      <c r="W31" s="11"/>
      <c r="X31" s="11"/>
      <c r="Y31" s="11"/>
      <c r="Z31" s="31"/>
      <c r="AA31" s="31"/>
      <c r="AB31" s="11"/>
      <c r="AC31" s="11"/>
      <c r="AD31" s="11"/>
      <c r="AE31" s="11"/>
      <c r="AF31" s="11"/>
      <c r="AG31" s="11"/>
      <c r="AH31" s="11"/>
      <c r="AI31" s="11"/>
      <c r="AJ31" s="11"/>
      <c r="AK31" s="11"/>
      <c r="AL31" s="11"/>
    </row>
    <row r="32" spans="1:38" ht="17.25" customHeight="1" x14ac:dyDescent="0.25">
      <c r="A32" s="340" t="s">
        <v>39</v>
      </c>
      <c r="B32" s="340"/>
      <c r="C32" s="340"/>
      <c r="D32" s="222" t="s">
        <v>40</v>
      </c>
      <c r="E32" s="224" t="s">
        <v>41</v>
      </c>
      <c r="F32" s="39"/>
      <c r="G32" s="225"/>
      <c r="H32" s="10"/>
      <c r="I32" s="31"/>
      <c r="J32" s="31"/>
      <c r="K32" s="56"/>
      <c r="L32" s="61"/>
      <c r="M32" s="61"/>
      <c r="N32" s="61"/>
      <c r="O32" s="56"/>
      <c r="P32" s="56"/>
      <c r="Q32" s="56"/>
      <c r="R32" s="56"/>
      <c r="S32" s="62"/>
      <c r="T32" s="11"/>
      <c r="U32" s="11"/>
      <c r="V32" s="11"/>
      <c r="W32" s="11"/>
      <c r="X32" s="11"/>
      <c r="Y32" s="11"/>
      <c r="Z32" s="31"/>
      <c r="AA32" s="31"/>
      <c r="AB32" s="11"/>
      <c r="AC32" s="11"/>
      <c r="AD32" s="11"/>
      <c r="AE32" s="11"/>
      <c r="AF32" s="11"/>
      <c r="AG32" s="11"/>
      <c r="AH32" s="11"/>
      <c r="AI32" s="11"/>
      <c r="AJ32" s="11"/>
      <c r="AK32" s="11"/>
      <c r="AL32" s="11"/>
    </row>
    <row r="33" spans="1:38" ht="17.25" customHeight="1" x14ac:dyDescent="0.25">
      <c r="A33" s="388" t="s">
        <v>42</v>
      </c>
      <c r="B33" s="388"/>
      <c r="C33" s="388"/>
      <c r="D33" s="270"/>
      <c r="E33" s="12"/>
      <c r="F33" s="12"/>
      <c r="G33" s="223"/>
      <c r="H33" s="10"/>
      <c r="I33" s="31"/>
      <c r="J33" s="31"/>
      <c r="K33" s="56"/>
      <c r="L33" s="61"/>
      <c r="M33" s="61"/>
      <c r="N33" s="61"/>
      <c r="O33" s="56"/>
      <c r="P33" s="56"/>
      <c r="Q33" s="56"/>
      <c r="R33" s="56"/>
      <c r="S33" s="62"/>
      <c r="T33" s="11"/>
      <c r="U33" s="11"/>
      <c r="V33" s="11"/>
      <c r="W33" s="11"/>
      <c r="X33" s="11"/>
      <c r="Y33" s="11"/>
      <c r="Z33" s="31"/>
      <c r="AA33" s="31"/>
      <c r="AB33" s="11"/>
      <c r="AC33" s="11"/>
      <c r="AD33" s="11"/>
      <c r="AE33" s="11"/>
      <c r="AF33" s="11"/>
      <c r="AG33" s="11"/>
      <c r="AH33" s="11"/>
      <c r="AI33" s="11"/>
      <c r="AJ33" s="11"/>
      <c r="AK33" s="11"/>
      <c r="AL33" s="11"/>
    </row>
    <row r="34" spans="1:38" ht="17.25" customHeight="1" x14ac:dyDescent="0.25">
      <c r="A34" s="387" t="str">
        <f>IF(D23="Far / Medmor","Inkludere perioden 2 ugers fædreorlov?","")</f>
        <v/>
      </c>
      <c r="B34" s="387"/>
      <c r="C34" s="387"/>
      <c r="D34" s="386" t="s">
        <v>41</v>
      </c>
      <c r="E34" s="386"/>
      <c r="F34" s="386"/>
      <c r="G34" s="24"/>
      <c r="H34" s="10"/>
      <c r="I34" s="31"/>
      <c r="J34" s="31"/>
      <c r="K34" s="51"/>
      <c r="L34" s="31"/>
      <c r="M34" s="31"/>
      <c r="N34" s="11"/>
      <c r="O34" s="31"/>
      <c r="P34" s="31"/>
      <c r="Q34" s="31"/>
      <c r="R34" s="31"/>
      <c r="S34" s="11"/>
      <c r="T34" s="11"/>
      <c r="U34" s="11"/>
      <c r="V34" s="11"/>
      <c r="W34" s="11"/>
      <c r="X34" s="11"/>
      <c r="Y34" s="11"/>
      <c r="Z34" s="31"/>
      <c r="AA34" s="31"/>
      <c r="AB34" s="11"/>
      <c r="AC34" s="11"/>
      <c r="AD34" s="11"/>
      <c r="AE34" s="11"/>
      <c r="AF34" s="11"/>
      <c r="AG34" s="11"/>
      <c r="AH34" s="11"/>
      <c r="AI34" s="11"/>
      <c r="AJ34" s="11"/>
      <c r="AK34" s="11"/>
      <c r="AL34" s="11"/>
    </row>
    <row r="35" spans="1:38" ht="17.25" customHeight="1" x14ac:dyDescent="0.25">
      <c r="A35" s="333" t="str">
        <f>IF(AND($D$23="Far / Medmor",G30&lt;&gt;"")," Forventet fødselsdato skal ikke udfyldes for far eller medmor","")</f>
        <v/>
      </c>
      <c r="B35" s="334"/>
      <c r="C35" s="334"/>
      <c r="D35" s="334"/>
      <c r="E35" s="334"/>
      <c r="F35" s="334"/>
      <c r="G35" s="335"/>
      <c r="H35" s="63"/>
      <c r="I35" s="31"/>
      <c r="J35" s="51"/>
      <c r="K35" s="31"/>
      <c r="L35" s="11"/>
      <c r="M35" s="11"/>
      <c r="N35" s="11"/>
      <c r="O35" s="11"/>
      <c r="P35" s="11"/>
      <c r="Q35" s="11"/>
      <c r="R35" s="11"/>
      <c r="S35" s="11"/>
      <c r="T35" s="11"/>
      <c r="U35" s="2"/>
      <c r="V35" s="2"/>
      <c r="W35" s="3"/>
      <c r="X35" s="31"/>
      <c r="Y35" s="31"/>
      <c r="Z35" s="11"/>
      <c r="AA35" s="11"/>
      <c r="AB35" s="11"/>
      <c r="AC35" s="11"/>
      <c r="AD35" s="11"/>
      <c r="AE35" s="11"/>
      <c r="AF35" s="11"/>
      <c r="AG35" s="11"/>
      <c r="AH35" s="11"/>
      <c r="AI35" s="11"/>
      <c r="AJ35" s="11"/>
      <c r="AK35" s="11"/>
      <c r="AL35" s="11"/>
    </row>
    <row r="36" spans="1:38" ht="17.25" customHeight="1" x14ac:dyDescent="0.3">
      <c r="A36" s="64" t="s">
        <v>43</v>
      </c>
      <c r="B36" s="12"/>
      <c r="C36" s="10"/>
      <c r="D36" s="10"/>
      <c r="E36" s="10"/>
      <c r="F36" s="10"/>
      <c r="G36" s="24"/>
      <c r="H36" s="10"/>
      <c r="I36" s="31"/>
      <c r="J36" s="275"/>
      <c r="K36" s="31"/>
      <c r="L36" s="31"/>
      <c r="M36" s="31"/>
      <c r="N36" s="31"/>
      <c r="O36" s="31"/>
      <c r="P36" s="31"/>
      <c r="Q36" s="31"/>
      <c r="R36" s="31"/>
      <c r="S36" s="31"/>
      <c r="T36" s="31"/>
      <c r="U36" s="2"/>
      <c r="V36" s="2"/>
      <c r="W36" s="3"/>
      <c r="X36" s="31"/>
      <c r="Y36" s="31"/>
      <c r="Z36" s="31"/>
      <c r="AA36" s="31"/>
      <c r="AB36" s="11"/>
      <c r="AC36" s="11"/>
      <c r="AD36" s="11"/>
      <c r="AE36" s="11"/>
      <c r="AF36" s="11"/>
      <c r="AG36" s="11"/>
      <c r="AH36" s="11"/>
      <c r="AI36" s="11"/>
      <c r="AJ36" s="11"/>
      <c r="AK36" s="11"/>
      <c r="AL36" s="11"/>
    </row>
    <row r="37" spans="1:38" ht="17.25" customHeight="1" x14ac:dyDescent="0.25">
      <c r="A37" s="23"/>
      <c r="B37" s="12"/>
      <c r="C37" s="12"/>
      <c r="D37" s="10"/>
      <c r="E37" s="10"/>
      <c r="F37" s="10"/>
      <c r="G37" s="24"/>
      <c r="H37" s="10"/>
      <c r="I37" s="31"/>
      <c r="J37" s="31"/>
      <c r="K37" s="65"/>
      <c r="L37" s="31"/>
      <c r="M37" s="31"/>
      <c r="N37" s="31"/>
      <c r="O37" s="31"/>
      <c r="P37" s="31"/>
      <c r="Q37" s="31"/>
      <c r="R37" s="31"/>
      <c r="S37" s="31"/>
      <c r="T37" s="31"/>
      <c r="U37" s="2"/>
      <c r="V37" s="2"/>
      <c r="W37" s="2"/>
      <c r="X37" s="31"/>
      <c r="Y37" s="31"/>
      <c r="Z37" s="31"/>
      <c r="AA37" s="31"/>
      <c r="AB37" s="11"/>
      <c r="AC37" s="11"/>
      <c r="AD37" s="11"/>
      <c r="AE37" s="11"/>
      <c r="AF37" s="11"/>
      <c r="AG37" s="11"/>
      <c r="AH37" s="11"/>
      <c r="AI37" s="11"/>
      <c r="AJ37" s="11"/>
      <c r="AK37" s="11"/>
      <c r="AL37" s="11"/>
    </row>
    <row r="38" spans="1:38" ht="17.25" customHeight="1" x14ac:dyDescent="0.25">
      <c r="A38" s="66"/>
      <c r="B38" s="67"/>
      <c r="C38" s="67"/>
      <c r="D38" s="10"/>
      <c r="E38" s="10"/>
      <c r="F38" s="10"/>
      <c r="G38" s="24"/>
      <c r="H38" s="10"/>
      <c r="I38" s="11"/>
      <c r="J38" s="83"/>
      <c r="K38" s="68"/>
      <c r="L38" s="11"/>
      <c r="M38" s="11"/>
      <c r="N38" s="51"/>
      <c r="O38" s="11"/>
      <c r="P38" s="11"/>
      <c r="Q38" s="11"/>
      <c r="R38" s="11"/>
      <c r="S38" s="11"/>
      <c r="T38" s="11"/>
      <c r="U38" s="11"/>
      <c r="V38" s="11"/>
      <c r="W38" s="11"/>
      <c r="X38" s="11"/>
      <c r="Y38" s="11"/>
      <c r="Z38" s="11"/>
      <c r="AA38" s="11"/>
      <c r="AB38" s="11"/>
      <c r="AC38" s="11"/>
      <c r="AD38" s="11"/>
      <c r="AE38" s="11"/>
      <c r="AF38" s="11"/>
      <c r="AG38" s="11"/>
      <c r="AH38" s="11"/>
      <c r="AI38" s="11"/>
      <c r="AJ38" s="11"/>
      <c r="AK38" s="11"/>
      <c r="AL38" s="11"/>
    </row>
    <row r="39" spans="1:38" ht="17.25" customHeight="1" x14ac:dyDescent="0.25">
      <c r="A39" s="23"/>
      <c r="B39" s="10"/>
      <c r="C39" s="10"/>
      <c r="D39" s="10"/>
      <c r="E39" s="10"/>
      <c r="F39" s="10"/>
      <c r="G39" s="24"/>
      <c r="H39" s="10"/>
      <c r="I39" s="11"/>
      <c r="J39" s="11"/>
      <c r="K39" s="51"/>
      <c r="L39" s="11"/>
      <c r="M39" s="11"/>
      <c r="N39" s="51"/>
      <c r="O39" s="11"/>
      <c r="P39" s="11"/>
      <c r="Q39" s="11"/>
      <c r="R39" s="11"/>
      <c r="S39" s="11"/>
      <c r="T39" s="11"/>
      <c r="U39" s="11"/>
      <c r="V39" s="11"/>
      <c r="W39" s="11"/>
      <c r="X39" s="11"/>
      <c r="Y39" s="11"/>
      <c r="Z39" s="11"/>
      <c r="AA39" s="11"/>
      <c r="AB39" s="11"/>
      <c r="AC39" s="11"/>
      <c r="AD39" s="11"/>
      <c r="AE39" s="11"/>
      <c r="AF39" s="11"/>
      <c r="AG39" s="11"/>
      <c r="AH39" s="11"/>
      <c r="AI39" s="11"/>
      <c r="AJ39" s="11"/>
      <c r="AK39" s="11"/>
      <c r="AL39" s="11"/>
    </row>
    <row r="40" spans="1:38" ht="17.25" customHeight="1" x14ac:dyDescent="0.25">
      <c r="A40" s="33" t="s">
        <v>44</v>
      </c>
      <c r="B40" s="12"/>
      <c r="C40" s="12"/>
      <c r="D40" s="5">
        <v>37</v>
      </c>
      <c r="E40" s="10"/>
      <c r="F40" s="10"/>
      <c r="G40" s="24"/>
      <c r="H40" s="10"/>
      <c r="I40" s="11"/>
      <c r="J40" s="11"/>
      <c r="K40" s="434" t="s">
        <v>45</v>
      </c>
      <c r="L40" s="435"/>
      <c r="M40" s="69">
        <f>IF(D40&gt;37,1,D40/37)</f>
        <v>1</v>
      </c>
      <c r="N40" s="65"/>
      <c r="O40" s="11"/>
      <c r="P40" s="11"/>
      <c r="Q40" s="11"/>
      <c r="R40" s="11"/>
      <c r="S40" s="11"/>
      <c r="T40" s="11"/>
      <c r="U40" s="11"/>
      <c r="V40" s="11"/>
      <c r="W40" s="11"/>
      <c r="X40" s="11"/>
      <c r="Y40" s="11"/>
      <c r="Z40" s="11"/>
      <c r="AA40" s="11"/>
      <c r="AB40" s="11"/>
      <c r="AC40" s="11"/>
      <c r="AD40" s="11"/>
      <c r="AE40" s="11"/>
      <c r="AF40" s="11"/>
      <c r="AG40" s="11"/>
      <c r="AH40" s="11"/>
      <c r="AI40" s="11"/>
      <c r="AJ40" s="11"/>
      <c r="AK40" s="11"/>
      <c r="AL40" s="11"/>
    </row>
    <row r="41" spans="1:38" s="73" customFormat="1" ht="17.25" customHeight="1" x14ac:dyDescent="0.25">
      <c r="A41" s="336" t="str">
        <f>IF(D40&lt;=10,"Kontakt barselsfonden for hjælp, sagen kan være kompliceret",
     IF(D40&gt;37, "Du kan maks få refusion for 37 timer. Tilskudet beregnes ud fra 37 timer.",""))</f>
        <v/>
      </c>
      <c r="B41" s="337"/>
      <c r="C41" s="337"/>
      <c r="D41" s="337"/>
      <c r="E41" s="337"/>
      <c r="F41" s="337"/>
      <c r="G41" s="338"/>
      <c r="H41" s="10"/>
      <c r="I41" s="70"/>
      <c r="J41" s="70"/>
      <c r="K41" s="70"/>
      <c r="L41" s="70"/>
      <c r="M41" s="70"/>
      <c r="N41" s="51"/>
      <c r="O41" s="70"/>
      <c r="P41" s="70"/>
      <c r="Q41" s="70"/>
      <c r="R41" s="70"/>
      <c r="S41" s="70"/>
      <c r="T41" s="70"/>
      <c r="U41" s="70"/>
      <c r="V41" s="71"/>
      <c r="W41" s="70"/>
      <c r="X41" s="70"/>
      <c r="Y41" s="70"/>
      <c r="Z41" s="70"/>
      <c r="AA41" s="70"/>
      <c r="AB41" s="72"/>
      <c r="AC41" s="72"/>
      <c r="AD41" s="72"/>
      <c r="AE41" s="72"/>
      <c r="AF41" s="72"/>
      <c r="AG41" s="72"/>
      <c r="AH41" s="72"/>
      <c r="AI41" s="72"/>
      <c r="AJ41" s="72"/>
      <c r="AK41" s="72"/>
      <c r="AL41" s="72"/>
    </row>
    <row r="42" spans="1:38" ht="17.25" customHeight="1" x14ac:dyDescent="0.25">
      <c r="A42" s="23"/>
      <c r="B42" s="12"/>
      <c r="C42" s="12"/>
      <c r="D42" s="12"/>
      <c r="E42" s="12"/>
      <c r="F42" s="12"/>
      <c r="G42" s="74"/>
      <c r="I42" s="31"/>
      <c r="J42" s="31"/>
      <c r="L42" s="31"/>
      <c r="M42" s="31"/>
      <c r="N42" s="31"/>
      <c r="O42" s="31"/>
      <c r="P42" s="31"/>
      <c r="Q42" s="31"/>
      <c r="R42" s="31"/>
      <c r="S42" s="31"/>
      <c r="T42" s="31"/>
      <c r="U42" s="31"/>
      <c r="V42" s="31"/>
      <c r="W42" s="31"/>
      <c r="X42" s="31"/>
      <c r="Y42" s="31"/>
      <c r="Z42" s="31"/>
      <c r="AA42" s="31"/>
      <c r="AB42" s="11"/>
      <c r="AC42" s="11"/>
      <c r="AD42" s="11"/>
      <c r="AE42" s="11"/>
      <c r="AF42" s="11"/>
      <c r="AG42" s="11"/>
      <c r="AH42" s="11"/>
      <c r="AI42" s="11"/>
      <c r="AJ42" s="11"/>
      <c r="AK42" s="11"/>
      <c r="AL42" s="11"/>
    </row>
    <row r="43" spans="1:38" s="73" customFormat="1" ht="17.25" customHeight="1" x14ac:dyDescent="0.25">
      <c r="A43" s="33" t="s">
        <v>46</v>
      </c>
      <c r="B43" s="75"/>
      <c r="C43" s="75"/>
      <c r="D43" s="76"/>
      <c r="E43" s="75"/>
      <c r="F43" s="5" t="s">
        <v>212</v>
      </c>
      <c r="G43" s="77"/>
      <c r="H43" s="76"/>
      <c r="I43" s="70"/>
      <c r="J43" s="70"/>
      <c r="K43" s="78" t="b">
        <f>IF(F43="Ja",TRUE,FALSE)</f>
        <v>0</v>
      </c>
      <c r="L43" s="70"/>
      <c r="M43" s="70"/>
      <c r="N43" s="70"/>
      <c r="O43" s="70"/>
      <c r="P43" s="70"/>
      <c r="Q43" s="70"/>
      <c r="R43" s="70"/>
      <c r="S43" s="70"/>
      <c r="T43" s="70"/>
      <c r="U43" s="70"/>
      <c r="V43" s="71"/>
      <c r="W43" s="70"/>
      <c r="X43" s="70"/>
      <c r="Y43" s="70"/>
      <c r="Z43" s="70"/>
      <c r="AA43" s="70"/>
      <c r="AB43" s="72"/>
      <c r="AC43" s="72"/>
      <c r="AD43" s="72"/>
      <c r="AE43" s="72"/>
      <c r="AF43" s="72"/>
      <c r="AG43" s="72"/>
      <c r="AH43" s="72"/>
      <c r="AI43" s="72"/>
      <c r="AJ43" s="72"/>
      <c r="AK43" s="72"/>
      <c r="AL43" s="72"/>
    </row>
    <row r="44" spans="1:38" ht="17.25" customHeight="1" x14ac:dyDescent="0.25">
      <c r="A44" s="330" t="str">
        <f>IF(K43,"Udfyld oplysninger om ændringen senere i skemaet: Løn og timenorm","")</f>
        <v/>
      </c>
      <c r="B44" s="331"/>
      <c r="C44" s="331"/>
      <c r="D44" s="331"/>
      <c r="E44" s="331"/>
      <c r="F44" s="331"/>
      <c r="G44" s="332"/>
      <c r="H44" s="10"/>
      <c r="I44" s="11"/>
      <c r="J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row>
    <row r="45" spans="1:38" ht="17.25" customHeight="1" x14ac:dyDescent="0.25">
      <c r="A45" s="33"/>
      <c r="B45" s="10"/>
      <c r="C45" s="10"/>
      <c r="D45" s="10"/>
      <c r="E45" s="10"/>
      <c r="F45" s="10"/>
      <c r="G45" s="24"/>
      <c r="H45" s="10"/>
      <c r="I45" s="11"/>
      <c r="J45" s="31"/>
      <c r="K45" s="4"/>
      <c r="L45" s="11"/>
      <c r="M45" s="11"/>
      <c r="N45" s="31"/>
      <c r="O45" s="51"/>
      <c r="P45" s="51"/>
      <c r="Q45" s="51"/>
      <c r="R45" s="51"/>
      <c r="S45" s="11"/>
      <c r="T45" s="11"/>
      <c r="U45" s="11"/>
      <c r="V45" s="11"/>
      <c r="W45" s="11"/>
      <c r="X45" s="11"/>
      <c r="Y45" s="11"/>
      <c r="Z45" s="11"/>
      <c r="AA45" s="11"/>
      <c r="AB45" s="11"/>
      <c r="AC45" s="11"/>
      <c r="AD45" s="11"/>
      <c r="AE45" s="11"/>
      <c r="AF45" s="11"/>
      <c r="AG45" s="11"/>
      <c r="AH45" s="11"/>
      <c r="AI45" s="11"/>
      <c r="AJ45" s="11"/>
      <c r="AK45" s="11"/>
      <c r="AL45" s="11"/>
    </row>
    <row r="46" spans="1:38" ht="17.25" customHeight="1" x14ac:dyDescent="0.25">
      <c r="A46" s="33" t="s">
        <v>47</v>
      </c>
      <c r="B46" s="12"/>
      <c r="C46" s="12"/>
      <c r="D46" s="12"/>
      <c r="E46" s="12"/>
      <c r="F46" s="211"/>
      <c r="G46" s="74"/>
      <c r="H46" s="10"/>
      <c r="I46" s="11"/>
      <c r="J46" s="11"/>
      <c r="K46" s="438">
        <f>ROUND(IF(D40&lt;=37,F46,(F46/D40)*37),0)</f>
        <v>0</v>
      </c>
      <c r="L46" s="438"/>
      <c r="M46" s="11"/>
      <c r="N46" s="31"/>
      <c r="O46" s="31"/>
      <c r="P46" s="31"/>
      <c r="Q46" s="31"/>
      <c r="R46" s="31"/>
      <c r="S46" s="11"/>
      <c r="T46" s="11"/>
      <c r="U46" s="11"/>
      <c r="V46" s="11"/>
      <c r="W46" s="11"/>
      <c r="X46" s="11"/>
      <c r="Y46" s="11"/>
      <c r="Z46" s="11"/>
      <c r="AA46" s="11"/>
      <c r="AB46" s="11"/>
      <c r="AC46" s="11"/>
      <c r="AD46" s="11"/>
      <c r="AE46" s="11"/>
      <c r="AF46" s="11"/>
      <c r="AG46" s="11"/>
      <c r="AH46" s="11"/>
      <c r="AI46" s="11"/>
      <c r="AJ46" s="11"/>
      <c r="AK46" s="11"/>
      <c r="AL46" s="11"/>
    </row>
    <row r="47" spans="1:38" ht="17.25" customHeight="1" x14ac:dyDescent="0.25">
      <c r="A47" s="301" t="str">
        <f>IF(D40&gt;37,"Du kan kun få refusion for 37 timer. Den indtastede månedsløn er derfor omregnet til en fuldtidstilling på 37timer. Det refunderbare beløb for en måned er " &amp; K46 &amp;"kr","")</f>
        <v/>
      </c>
      <c r="B47" s="302"/>
      <c r="C47" s="302"/>
      <c r="D47" s="302"/>
      <c r="E47" s="302"/>
      <c r="F47" s="302"/>
      <c r="G47" s="303"/>
      <c r="H47" s="10"/>
      <c r="I47" s="11"/>
      <c r="J47" s="11"/>
      <c r="K47" s="11"/>
      <c r="L47" s="11"/>
      <c r="M47" s="11"/>
      <c r="N47" s="31"/>
      <c r="O47" s="31"/>
      <c r="P47" s="31"/>
      <c r="Q47" s="31"/>
      <c r="R47" s="31"/>
      <c r="S47" s="11"/>
      <c r="T47" s="11"/>
      <c r="U47" s="11"/>
      <c r="V47" s="11"/>
      <c r="W47" s="11"/>
      <c r="X47" s="11"/>
      <c r="Y47" s="11"/>
      <c r="Z47" s="11"/>
      <c r="AA47" s="11"/>
      <c r="AB47" s="11"/>
      <c r="AC47" s="11"/>
      <c r="AD47" s="11"/>
      <c r="AE47" s="11"/>
      <c r="AF47" s="11"/>
      <c r="AG47" s="11"/>
      <c r="AH47" s="11"/>
      <c r="AI47" s="11"/>
      <c r="AJ47" s="11"/>
      <c r="AK47" s="11"/>
      <c r="AL47" s="11"/>
    </row>
    <row r="48" spans="1:38" ht="17.25" customHeight="1" x14ac:dyDescent="0.25">
      <c r="A48" s="436"/>
      <c r="B48" s="437"/>
      <c r="C48" s="437"/>
      <c r="D48" s="10"/>
      <c r="E48" s="10"/>
      <c r="F48" s="10"/>
      <c r="G48" s="74"/>
      <c r="H48" s="10"/>
      <c r="I48" s="11"/>
      <c r="J48" s="11"/>
      <c r="K48" s="11"/>
      <c r="L48" s="11"/>
      <c r="M48" s="11"/>
      <c r="N48" s="31"/>
      <c r="O48" s="31"/>
      <c r="P48" s="31"/>
      <c r="Q48" s="31"/>
      <c r="R48" s="31"/>
      <c r="S48" s="11"/>
      <c r="T48" s="11"/>
      <c r="U48" s="11"/>
      <c r="V48" s="11"/>
      <c r="W48" s="11"/>
      <c r="X48" s="11"/>
      <c r="Y48" s="11"/>
      <c r="Z48" s="11"/>
      <c r="AA48" s="11"/>
      <c r="AB48" s="11"/>
      <c r="AC48" s="11"/>
      <c r="AD48" s="11"/>
      <c r="AE48" s="11"/>
      <c r="AF48" s="11"/>
      <c r="AG48" s="11"/>
      <c r="AH48" s="11"/>
      <c r="AI48" s="11"/>
      <c r="AJ48" s="11"/>
      <c r="AK48" s="11"/>
      <c r="AL48" s="11"/>
    </row>
    <row r="49" spans="1:38" ht="17.25" customHeight="1" x14ac:dyDescent="0.25">
      <c r="A49" s="33" t="s">
        <v>48</v>
      </c>
      <c r="B49" s="12"/>
      <c r="C49" s="12"/>
      <c r="D49" s="12"/>
      <c r="E49" s="12"/>
      <c r="F49" s="5" t="s">
        <v>41</v>
      </c>
      <c r="G49" s="74"/>
      <c r="H49" s="10"/>
      <c r="I49" s="11"/>
      <c r="J49" s="11"/>
      <c r="K49" s="78" t="b">
        <f>IF(F49="Nej",FALSE,TRUE)</f>
        <v>0</v>
      </c>
      <c r="L49" s="11"/>
      <c r="M49" s="11"/>
      <c r="N49" s="31"/>
      <c r="O49" s="31"/>
      <c r="P49" s="31"/>
      <c r="Q49" s="31"/>
      <c r="R49" s="31"/>
      <c r="S49" s="11"/>
      <c r="T49" s="11"/>
      <c r="U49" s="11"/>
      <c r="V49" s="11"/>
      <c r="W49" s="11"/>
      <c r="X49" s="11"/>
      <c r="Y49" s="11"/>
      <c r="Z49" s="11"/>
      <c r="AA49" s="11"/>
      <c r="AB49" s="11"/>
      <c r="AC49" s="11"/>
      <c r="AD49" s="11"/>
      <c r="AE49" s="11"/>
      <c r="AF49" s="11"/>
      <c r="AG49" s="11"/>
      <c r="AH49" s="11"/>
      <c r="AI49" s="11"/>
      <c r="AJ49" s="11"/>
      <c r="AK49" s="11"/>
      <c r="AL49" s="11"/>
    </row>
    <row r="50" spans="1:38" ht="17.25" customHeight="1" x14ac:dyDescent="0.25">
      <c r="A50" s="301" t="str">
        <f>IF(K49,"Udfyld oplysninger om ændringen senere i skemaet, i tabellen 'Løn og timenorm'", "")</f>
        <v/>
      </c>
      <c r="B50" s="302"/>
      <c r="C50" s="302"/>
      <c r="D50" s="302"/>
      <c r="E50" s="302"/>
      <c r="F50" s="302"/>
      <c r="G50" s="303"/>
      <c r="H50" s="10"/>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row>
    <row r="51" spans="1:38" ht="17.25" customHeight="1" x14ac:dyDescent="0.25">
      <c r="A51" s="33" t="s">
        <v>49</v>
      </c>
      <c r="B51" s="10"/>
      <c r="C51" s="10"/>
      <c r="D51" s="10"/>
      <c r="E51" s="10"/>
      <c r="F51" s="12"/>
      <c r="G51" s="5" t="s">
        <v>41</v>
      </c>
      <c r="H51" s="10"/>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row>
    <row r="52" spans="1:38" ht="17.25" customHeight="1" x14ac:dyDescent="0.25">
      <c r="A52" s="23"/>
      <c r="B52" s="12"/>
      <c r="C52" s="12"/>
      <c r="D52" s="10"/>
      <c r="E52" s="10"/>
      <c r="F52" s="12"/>
      <c r="G52" s="24"/>
      <c r="H52" s="10"/>
      <c r="I52" s="11"/>
      <c r="J52" s="11"/>
      <c r="K52" s="78" t="b">
        <f>IF(G51="Nej",FALSE,TRUE)</f>
        <v>0</v>
      </c>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row>
    <row r="53" spans="1:38" ht="30.75" customHeight="1" x14ac:dyDescent="0.25">
      <c r="A53" s="301" t="str">
        <f>IF(D23="Far / Medmor","Far eller medmor kan ikke opleve graviditetsgener. Hvis der er tale om en mor, skal dette angives i oplysningerne om den barslende",
IF(K52,"Udfyld nedenstående skema evt. deltidsfravær skal udfyldes senere. Hvis den barslende udelukkende har været deltidsfraværende skal du svare:Nej og udfylde deltidsfravær senere i arket",""))</f>
        <v/>
      </c>
      <c r="B53" s="302"/>
      <c r="C53" s="302"/>
      <c r="D53" s="302"/>
      <c r="E53" s="302"/>
      <c r="F53" s="302"/>
      <c r="G53" s="303"/>
      <c r="H53" s="10"/>
      <c r="I53" s="11"/>
      <c r="J53" s="11"/>
      <c r="K53" s="11"/>
      <c r="L53" s="11"/>
      <c r="M53" s="11"/>
      <c r="N53" s="11" t="s">
        <v>50</v>
      </c>
      <c r="O53" s="11"/>
      <c r="P53" s="11"/>
      <c r="Q53" s="11"/>
      <c r="R53" s="11"/>
      <c r="S53" s="11"/>
      <c r="T53" s="11"/>
      <c r="U53" s="11"/>
      <c r="V53" s="11"/>
      <c r="W53" s="11"/>
      <c r="X53" s="11"/>
      <c r="Y53" s="11"/>
      <c r="Z53" s="11"/>
      <c r="AA53" s="11"/>
      <c r="AB53" s="11"/>
      <c r="AC53" s="11"/>
      <c r="AD53" s="11"/>
      <c r="AE53" s="11"/>
      <c r="AF53" s="11"/>
      <c r="AG53" s="11"/>
      <c r="AH53" s="11"/>
      <c r="AI53" s="11"/>
      <c r="AJ53" s="11"/>
      <c r="AK53" s="11"/>
      <c r="AL53" s="11"/>
    </row>
    <row r="54" spans="1:38" ht="17.25" customHeight="1" x14ac:dyDescent="0.3">
      <c r="A54" s="23"/>
      <c r="B54" s="80"/>
      <c r="C54" s="80"/>
      <c r="D54" s="80"/>
      <c r="E54" s="10"/>
      <c r="F54" s="10"/>
      <c r="G54" s="24"/>
      <c r="H54" s="10"/>
      <c r="I54" s="11"/>
      <c r="J54" s="11"/>
      <c r="K54" s="11"/>
      <c r="L54" s="11"/>
      <c r="M54" s="11" t="s">
        <v>51</v>
      </c>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row>
    <row r="55" spans="1:38" ht="17.25" customHeight="1" x14ac:dyDescent="0.3">
      <c r="A55" s="81" t="s">
        <v>52</v>
      </c>
      <c r="B55" s="82"/>
      <c r="C55" s="82"/>
      <c r="D55" s="82"/>
      <c r="E55" s="10"/>
      <c r="F55" s="10"/>
      <c r="G55" s="24"/>
      <c r="H55" s="10"/>
      <c r="I55" s="11"/>
      <c r="J55" s="11"/>
      <c r="K55" s="11"/>
      <c r="L55" s="11"/>
      <c r="M55" s="11"/>
      <c r="N55" s="11" t="s">
        <v>53</v>
      </c>
      <c r="O55" s="11" t="s">
        <v>54</v>
      </c>
      <c r="P55" s="11"/>
      <c r="Q55" s="11"/>
      <c r="R55" s="11"/>
      <c r="S55" s="11"/>
      <c r="T55" s="11"/>
      <c r="U55" s="11"/>
      <c r="V55" s="11"/>
      <c r="W55" s="11"/>
      <c r="X55" s="11"/>
      <c r="Y55" s="11"/>
      <c r="Z55" s="11"/>
      <c r="AA55" s="11"/>
      <c r="AB55" s="11"/>
      <c r="AC55" s="11"/>
      <c r="AD55" s="11"/>
      <c r="AE55" s="11"/>
      <c r="AF55" s="11"/>
      <c r="AG55" s="11"/>
      <c r="AH55" s="11"/>
      <c r="AI55" s="11"/>
      <c r="AJ55" s="11"/>
      <c r="AK55" s="11"/>
      <c r="AL55" s="11"/>
    </row>
    <row r="56" spans="1:38" ht="17.25" customHeight="1" x14ac:dyDescent="0.25">
      <c r="A56" s="33"/>
      <c r="B56" s="10"/>
      <c r="C56" s="10"/>
      <c r="D56" s="10"/>
      <c r="E56" s="10"/>
      <c r="F56" s="10"/>
      <c r="G56" s="24"/>
      <c r="H56" s="10"/>
      <c r="I56" s="11"/>
      <c r="J56" s="11"/>
      <c r="K56" s="11" t="s">
        <v>35</v>
      </c>
      <c r="L56" s="11" t="s">
        <v>36</v>
      </c>
      <c r="M56" s="11" t="s">
        <v>55</v>
      </c>
      <c r="O56" s="11" t="s">
        <v>51</v>
      </c>
      <c r="P56" s="11"/>
      <c r="Q56" s="11"/>
      <c r="R56" s="11"/>
      <c r="S56" s="11" t="s">
        <v>50</v>
      </c>
      <c r="T56" s="11" t="s">
        <v>56</v>
      </c>
      <c r="U56" s="11" t="s">
        <v>57</v>
      </c>
      <c r="V56" s="11"/>
      <c r="W56" s="11"/>
      <c r="X56" s="11"/>
      <c r="Y56" s="11"/>
      <c r="Z56" s="11"/>
      <c r="AA56" s="11"/>
      <c r="AB56" s="11"/>
      <c r="AC56" s="11"/>
      <c r="AD56" s="11"/>
      <c r="AE56" s="11"/>
      <c r="AF56" s="11"/>
      <c r="AG56" s="11"/>
      <c r="AH56" s="11"/>
      <c r="AI56" s="11"/>
      <c r="AJ56" s="11"/>
      <c r="AK56" s="11"/>
      <c r="AL56" s="11"/>
    </row>
    <row r="57" spans="1:38" ht="17.25" customHeight="1" x14ac:dyDescent="0.25">
      <c r="A57" s="33"/>
      <c r="B57" s="10"/>
      <c r="C57" s="10"/>
      <c r="D57" s="10"/>
      <c r="E57" s="10" t="s">
        <v>32</v>
      </c>
      <c r="F57" s="10" t="s">
        <v>33</v>
      </c>
      <c r="G57" s="24"/>
      <c r="H57" s="10"/>
      <c r="I57" s="11"/>
      <c r="J57" s="11"/>
      <c r="K57" s="83" t="str">
        <f>IF(E31="","",E31)</f>
        <v>xx-xx-xxxx</v>
      </c>
      <c r="L57" s="83" t="str">
        <f t="shared" ref="L57" si="0">IF(G31="","",G31)</f>
        <v>xx-xx-xxxx</v>
      </c>
      <c r="M57" s="11" t="s">
        <v>58</v>
      </c>
      <c r="N57" s="8" t="b" cm="1">
        <f t="array" ref="N57">IF(OR(Table1[[#This Row],[Fra]]="",Table1[[#This Row],[Til]]=""),FALSE,
    SUMPRODUCT((Table1[[#This Row],[Fra]]&lt;=Table1[Til])*(Table1[[#This Row],[Til]]&gt;=Table1[Fra]))&gt;1)</f>
        <v>0</v>
      </c>
      <c r="O57" s="8" t="b" cm="1">
        <f t="array" ref="O57:O61">((Table1[[#This Row],[Fra]]&lt;Table1[Til]))</f>
        <v>0</v>
      </c>
      <c r="S57" s="11" t="b" cm="1">
        <f t="array" ref="S57:S61">Table1[[#This Row],[Til]]&gt;Table1[Fra]</f>
        <v>0</v>
      </c>
      <c r="T57" s="11" cm="1">
        <f t="array" ref="T57">SUMPRODUCT(_xlfn.ANCHORARRAY(O57)*_xlfn.ANCHORARRAY(S57))</f>
        <v>0</v>
      </c>
      <c r="U57" s="11" t="b">
        <f>T57&gt;1</f>
        <v>0</v>
      </c>
      <c r="V57" s="11"/>
      <c r="W57" s="11"/>
      <c r="X57" s="11"/>
      <c r="Y57" s="11"/>
      <c r="Z57" s="11"/>
      <c r="AA57" s="11"/>
      <c r="AB57" s="11"/>
      <c r="AC57" s="11"/>
      <c r="AD57" s="11"/>
      <c r="AE57" s="11"/>
      <c r="AF57" s="11"/>
      <c r="AG57" s="11"/>
      <c r="AH57" s="11"/>
      <c r="AI57" s="11"/>
      <c r="AJ57" s="11"/>
      <c r="AK57" s="11"/>
      <c r="AL57" s="11"/>
    </row>
    <row r="58" spans="1:38" ht="17.25" customHeight="1" x14ac:dyDescent="0.25">
      <c r="A58" s="33" t="s">
        <v>59</v>
      </c>
      <c r="B58" s="10"/>
      <c r="C58" s="10"/>
      <c r="D58" s="10"/>
      <c r="E58" s="155"/>
      <c r="F58" s="155"/>
      <c r="G58" s="24"/>
      <c r="H58" s="10"/>
      <c r="I58" s="11"/>
      <c r="J58" s="11"/>
      <c r="K58" s="83" t="str">
        <f t="shared" ref="K58:K61" si="1">IF(E58="","",E58)</f>
        <v/>
      </c>
      <c r="L58" s="83" t="str">
        <f>IF(F58="","",F58)</f>
        <v/>
      </c>
      <c r="M58" s="11" t="s">
        <v>60</v>
      </c>
      <c r="N58" s="8" t="b" cm="1">
        <f t="array" ref="N58">IF(OR(Table1[[#This Row],[Fra]]="",Table1[[#This Row],[Til]]=""),FALSE,
    SUMPRODUCT((Table1[[#This Row],[Fra]]&lt;=Table1[Til])*(Table1[[#This Row],[Til]]&gt;=Table1[Fra]))&gt;1)</f>
        <v>0</v>
      </c>
      <c r="O58" s="11" t="b">
        <v>0</v>
      </c>
      <c r="P58" s="11"/>
      <c r="Q58" s="11"/>
      <c r="R58" s="11"/>
      <c r="S58" s="11" t="b">
        <v>1</v>
      </c>
      <c r="T58" s="11"/>
      <c r="U58" s="11"/>
      <c r="V58" s="11"/>
      <c r="W58" s="11"/>
      <c r="X58" s="11"/>
      <c r="Y58" s="11"/>
      <c r="Z58" s="11"/>
      <c r="AA58" s="11"/>
      <c r="AB58" s="11"/>
      <c r="AC58" s="11"/>
      <c r="AD58" s="11"/>
      <c r="AE58" s="11"/>
      <c r="AF58" s="11"/>
      <c r="AG58" s="11"/>
      <c r="AH58" s="11"/>
      <c r="AI58" s="11"/>
      <c r="AJ58" s="11"/>
      <c r="AK58" s="11"/>
      <c r="AL58" s="11"/>
    </row>
    <row r="59" spans="1:38" ht="17.25" customHeight="1" x14ac:dyDescent="0.25">
      <c r="A59" s="33" t="s">
        <v>61</v>
      </c>
      <c r="B59" s="10"/>
      <c r="C59" s="10"/>
      <c r="D59" s="10"/>
      <c r="E59" s="155"/>
      <c r="F59" s="155"/>
      <c r="G59" s="24"/>
      <c r="H59" s="10"/>
      <c r="I59" s="11"/>
      <c r="J59" s="11"/>
      <c r="K59" s="83" t="str">
        <f t="shared" si="1"/>
        <v/>
      </c>
      <c r="L59" s="83" t="str">
        <f t="shared" ref="L59:L61" si="2">IF(F59="","",F59)</f>
        <v/>
      </c>
      <c r="M59" s="11" t="s">
        <v>60</v>
      </c>
      <c r="N59" s="8" t="b" cm="1">
        <f t="array" ref="N59">IF(OR(Table1[[#This Row],[Fra]]="",Table1[[#This Row],[Til]]=""),FALSE,
    SUMPRODUCT((Table1[[#This Row],[Fra]]&lt;=Table1[Til])*(Table1[[#This Row],[Til]]&gt;=Table1[Fra]))&gt;1)</f>
        <v>0</v>
      </c>
      <c r="O59" s="11" t="b">
        <v>0</v>
      </c>
      <c r="P59" s="11"/>
      <c r="Q59" s="11"/>
      <c r="R59" s="11"/>
      <c r="S59" s="11" t="b">
        <v>1</v>
      </c>
      <c r="T59" s="11"/>
      <c r="U59" s="11"/>
      <c r="V59" s="11"/>
      <c r="W59" s="11"/>
      <c r="X59" s="11"/>
      <c r="Y59" s="11"/>
      <c r="Z59" s="11"/>
      <c r="AA59" s="11"/>
      <c r="AB59" s="11"/>
      <c r="AC59" s="11"/>
      <c r="AD59" s="11"/>
      <c r="AE59" s="11"/>
      <c r="AF59" s="11"/>
      <c r="AG59" s="11"/>
      <c r="AH59" s="11"/>
      <c r="AI59" s="11"/>
      <c r="AJ59" s="11"/>
      <c r="AK59" s="11"/>
      <c r="AL59" s="11"/>
    </row>
    <row r="60" spans="1:38" ht="17.25" customHeight="1" x14ac:dyDescent="0.25">
      <c r="A60" s="33" t="s">
        <v>62</v>
      </c>
      <c r="B60" s="10"/>
      <c r="C60" s="10"/>
      <c r="D60" s="10"/>
      <c r="E60" s="155"/>
      <c r="F60" s="155"/>
      <c r="G60" s="24"/>
      <c r="H60" s="10"/>
      <c r="I60" s="11"/>
      <c r="J60" s="11"/>
      <c r="K60" s="83" t="str">
        <f t="shared" si="1"/>
        <v/>
      </c>
      <c r="L60" s="83" t="str">
        <f t="shared" si="2"/>
        <v/>
      </c>
      <c r="M60" s="11" t="s">
        <v>60</v>
      </c>
      <c r="N60" s="8" t="b" cm="1">
        <f t="array" ref="N60">IF(OR(Table1[[#This Row],[Fra]]="",Table1[[#This Row],[Til]]=""),FALSE,
    SUMPRODUCT((Table1[[#This Row],[Fra]]&lt;=Table1[Til])*(Table1[[#This Row],[Til]]&gt;=Table1[Fra]))&gt;1)</f>
        <v>0</v>
      </c>
      <c r="O60" s="11" t="b">
        <v>0</v>
      </c>
      <c r="P60" s="11"/>
      <c r="Q60" s="11"/>
      <c r="R60" s="11"/>
      <c r="S60" s="11" t="b">
        <v>1</v>
      </c>
      <c r="T60" s="11"/>
      <c r="U60" s="11"/>
      <c r="V60" s="11"/>
      <c r="W60" s="11"/>
      <c r="X60" s="11"/>
      <c r="Y60" s="11"/>
      <c r="Z60" s="11"/>
      <c r="AA60" s="11"/>
      <c r="AB60" s="11"/>
      <c r="AC60" s="11"/>
      <c r="AD60" s="11"/>
      <c r="AE60" s="11"/>
      <c r="AF60" s="11"/>
      <c r="AG60" s="11"/>
      <c r="AH60" s="11"/>
      <c r="AI60" s="11"/>
      <c r="AJ60" s="11"/>
      <c r="AK60" s="11"/>
      <c r="AL60" s="11"/>
    </row>
    <row r="61" spans="1:38" ht="17.25" customHeight="1" thickBot="1" x14ac:dyDescent="0.3">
      <c r="A61" s="33" t="s">
        <v>63</v>
      </c>
      <c r="B61" s="10"/>
      <c r="C61" s="10"/>
      <c r="D61" s="10"/>
      <c r="E61" s="155"/>
      <c r="F61" s="155"/>
      <c r="G61" s="24"/>
      <c r="H61" s="10"/>
      <c r="I61" s="11"/>
      <c r="J61" s="11"/>
      <c r="K61" s="83" t="str">
        <f t="shared" si="1"/>
        <v/>
      </c>
      <c r="L61" s="83" t="str">
        <f t="shared" si="2"/>
        <v/>
      </c>
      <c r="M61" s="11" t="s">
        <v>60</v>
      </c>
      <c r="N61" s="8" t="b" cm="1">
        <f t="array" ref="N61">IF(OR(Table1[[#This Row],[Fra]]="",Table1[[#This Row],[Til]]=""),FALSE,
    SUMPRODUCT((Table1[[#This Row],[Fra]]&lt;=Table1[Til])*(Table1[[#This Row],[Til]]&gt;=Table1[Fra]))&gt;1)</f>
        <v>0</v>
      </c>
      <c r="O61" s="11" t="b">
        <v>0</v>
      </c>
      <c r="P61" s="11"/>
      <c r="Q61" s="11"/>
      <c r="R61" s="11"/>
      <c r="S61" s="11" t="b">
        <v>1</v>
      </c>
      <c r="T61" s="11"/>
      <c r="U61" s="11"/>
      <c r="V61" s="11"/>
      <c r="W61" s="11"/>
      <c r="X61" s="11"/>
      <c r="Y61" s="11"/>
      <c r="Z61" s="11"/>
      <c r="AA61" s="11"/>
      <c r="AB61" s="11"/>
      <c r="AC61" s="11"/>
      <c r="AD61" s="11"/>
      <c r="AE61" s="11"/>
      <c r="AF61" s="11"/>
      <c r="AG61" s="11"/>
      <c r="AH61" s="11"/>
      <c r="AI61" s="11"/>
      <c r="AJ61" s="11"/>
      <c r="AK61" s="11"/>
      <c r="AL61" s="11"/>
    </row>
    <row r="62" spans="1:38" ht="17.25" customHeight="1" thickBot="1" x14ac:dyDescent="0.3">
      <c r="A62" s="33"/>
      <c r="B62" s="10"/>
      <c r="C62" s="10"/>
      <c r="D62" s="10"/>
      <c r="E62" s="10"/>
      <c r="F62" s="10"/>
      <c r="G62" s="24"/>
      <c r="H62" s="10"/>
      <c r="I62" s="11"/>
      <c r="J62" s="11"/>
      <c r="K62" s="83" t="s">
        <v>64</v>
      </c>
      <c r="L62" s="83"/>
      <c r="M62" s="11"/>
      <c r="N62" s="84" t="b">
        <f>IF(COUNTIF(N57:N61,TRUE)&gt;=1,TRUE,FALSE)</f>
        <v>0</v>
      </c>
      <c r="O62" s="11"/>
      <c r="P62" s="11"/>
      <c r="Q62" s="11"/>
      <c r="R62" s="11"/>
      <c r="S62" s="11"/>
      <c r="T62" s="11"/>
      <c r="U62" s="11"/>
      <c r="V62" s="11"/>
      <c r="W62" s="11"/>
      <c r="X62" s="11"/>
      <c r="Y62" s="11"/>
      <c r="Z62" s="11"/>
      <c r="AA62" s="11"/>
      <c r="AB62" s="11"/>
      <c r="AC62" s="11"/>
      <c r="AD62" s="11"/>
      <c r="AE62" s="11"/>
      <c r="AF62" s="11"/>
      <c r="AG62" s="11"/>
      <c r="AH62" s="11"/>
      <c r="AI62" s="11"/>
      <c r="AJ62" s="11"/>
      <c r="AK62" s="11"/>
      <c r="AL62" s="11"/>
    </row>
    <row r="63" spans="1:38" ht="17.25" customHeight="1" x14ac:dyDescent="0.25">
      <c r="A63" s="33"/>
      <c r="B63" s="10"/>
      <c r="C63" s="10"/>
      <c r="D63" s="10"/>
      <c r="E63" s="10"/>
      <c r="F63" s="10"/>
      <c r="G63" s="24"/>
      <c r="H63" s="10"/>
      <c r="I63" s="11"/>
      <c r="J63" s="11"/>
      <c r="K63" s="83"/>
      <c r="L63" s="83"/>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row>
    <row r="64" spans="1:38" ht="17.25" customHeight="1" x14ac:dyDescent="0.25">
      <c r="A64" s="23"/>
      <c r="B64" s="12"/>
      <c r="C64" s="12"/>
      <c r="D64" s="12"/>
      <c r="E64" s="12"/>
      <c r="F64" s="12"/>
      <c r="G64" s="74"/>
      <c r="H64" s="10"/>
      <c r="I64" s="11"/>
      <c r="J64" s="11"/>
      <c r="K64" s="83">
        <f t="shared" ref="K64:K65" si="3">E64</f>
        <v>0</v>
      </c>
      <c r="L64" s="83">
        <f>F64</f>
        <v>0</v>
      </c>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row>
    <row r="65" spans="1:38" ht="17.25" customHeight="1" x14ac:dyDescent="0.25">
      <c r="A65" s="23"/>
      <c r="B65" s="12"/>
      <c r="C65" s="12"/>
      <c r="D65" s="12"/>
      <c r="E65" s="12"/>
      <c r="F65" s="12"/>
      <c r="G65" s="74"/>
      <c r="H65" s="10"/>
      <c r="I65" s="11"/>
      <c r="J65" s="11"/>
      <c r="K65" s="83">
        <f t="shared" si="3"/>
        <v>0</v>
      </c>
      <c r="L65" s="83">
        <f t="shared" ref="L65" si="4">F65</f>
        <v>0</v>
      </c>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row>
    <row r="66" spans="1:38" ht="17.25" customHeight="1" x14ac:dyDescent="0.25">
      <c r="A66" s="306" t="s">
        <v>65</v>
      </c>
      <c r="B66" s="307"/>
      <c r="C66" s="307"/>
      <c r="D66" s="307"/>
      <c r="E66" s="307"/>
      <c r="F66" s="307"/>
      <c r="G66" s="308"/>
      <c r="H66" s="10"/>
      <c r="I66" s="11"/>
      <c r="J66" s="11"/>
      <c r="K66" s="83"/>
      <c r="L66" s="83"/>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row>
    <row r="67" spans="1:38" ht="17.25" customHeight="1" x14ac:dyDescent="0.25">
      <c r="A67" s="301"/>
      <c r="B67" s="302"/>
      <c r="C67" s="302"/>
      <c r="D67" s="302"/>
      <c r="E67" s="302"/>
      <c r="F67" s="302"/>
      <c r="G67" s="303"/>
      <c r="H67" s="10"/>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row>
    <row r="68" spans="1:38" ht="17.25" customHeight="1" x14ac:dyDescent="0.25">
      <c r="A68" s="309"/>
      <c r="B68" s="310"/>
      <c r="C68" s="310"/>
      <c r="D68" s="310"/>
      <c r="E68" s="310"/>
      <c r="F68" s="310"/>
      <c r="G68" s="311"/>
      <c r="H68" s="10"/>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row>
    <row r="69" spans="1:38" ht="17.25" customHeight="1" x14ac:dyDescent="0.25">
      <c r="A69" s="326" t="e">
        <f>IF(D23="Far / Medmor","skemaet skal være tomt for Far/medmor",
             IF(L31-MAX(F58:F61)=1,"Der er ingen slip mellem GG og barselsperioden i denne indtastning",
                       IF(L31-MAX(F58:F61)&gt;1,"Der er et slip mellem GG og barselsperioden i denne indtastning","")))</f>
        <v>#VALUE!</v>
      </c>
      <c r="B69" s="327"/>
      <c r="C69" s="327"/>
      <c r="D69" s="327"/>
      <c r="E69" s="327"/>
      <c r="F69" s="327"/>
      <c r="G69" s="328"/>
      <c r="H69" s="10"/>
      <c r="I69" s="11"/>
      <c r="J69" s="11"/>
      <c r="K69" s="85" t="e">
        <f>IF(D23="Far / Medmor",FALSE,
             IF(L31-MAX(F58:F61)=1,TRUE,
                       IF(L31-MAX(F58:F61)&gt;1,FALSE,"")))</f>
        <v>#VALUE!</v>
      </c>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row>
    <row r="70" spans="1:38" ht="17.25" customHeight="1" x14ac:dyDescent="0.25">
      <c r="A70" s="33"/>
      <c r="B70" s="10"/>
      <c r="C70" s="10"/>
      <c r="D70" s="10"/>
      <c r="E70" s="10"/>
      <c r="F70" s="10"/>
      <c r="G70" s="24"/>
      <c r="H70" s="10"/>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row>
    <row r="71" spans="1:38" ht="17.25" customHeight="1" x14ac:dyDescent="0.35">
      <c r="A71" s="86" t="s">
        <v>66</v>
      </c>
      <c r="B71" s="10"/>
      <c r="C71" s="10"/>
      <c r="D71" s="10"/>
      <c r="E71" s="10"/>
      <c r="F71" s="10"/>
      <c r="G71" s="24"/>
      <c r="H71" s="10"/>
      <c r="I71" s="11"/>
      <c r="J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row>
    <row r="72" spans="1:38" ht="17.25" customHeight="1" x14ac:dyDescent="0.25">
      <c r="A72" s="66"/>
      <c r="B72" s="10"/>
      <c r="C72" s="10"/>
      <c r="D72" s="10"/>
      <c r="E72" s="10"/>
      <c r="F72" s="10"/>
      <c r="G72" s="24"/>
      <c r="H72" s="10"/>
      <c r="I72" s="11"/>
      <c r="J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row>
    <row r="73" spans="1:38" ht="17.25" customHeight="1" x14ac:dyDescent="0.25">
      <c r="A73" s="33" t="s">
        <v>67</v>
      </c>
      <c r="B73" s="10"/>
      <c r="C73" s="10"/>
      <c r="D73" s="10"/>
      <c r="E73" s="12"/>
      <c r="F73" s="5" t="s">
        <v>41</v>
      </c>
      <c r="G73" s="24"/>
      <c r="H73" s="10"/>
      <c r="I73" s="11"/>
      <c r="J73" s="11"/>
      <c r="K73" s="78" t="b">
        <f>IF(F73="Nej",FALSE,TRUE)</f>
        <v>0</v>
      </c>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row>
    <row r="74" spans="1:38" ht="17.25" customHeight="1" x14ac:dyDescent="0.25">
      <c r="A74" s="33" t="s">
        <v>68</v>
      </c>
      <c r="B74" s="10"/>
      <c r="C74" s="10"/>
      <c r="D74" s="10"/>
      <c r="E74" s="12"/>
      <c r="F74" s="6"/>
      <c r="G74" s="24"/>
      <c r="H74" s="10"/>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row>
    <row r="75" spans="1:38" ht="17.25" customHeight="1" x14ac:dyDescent="0.25">
      <c r="A75" s="301" t="str">
        <f>IF(F74&lt;&gt;"","Oplys alle deltidsfraværstimer per måned i nedenstående skema","")</f>
        <v/>
      </c>
      <c r="B75" s="302"/>
      <c r="C75" s="302"/>
      <c r="D75" s="302"/>
      <c r="E75" s="302"/>
      <c r="F75" s="302"/>
      <c r="G75" s="303"/>
      <c r="H75" s="10"/>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row>
    <row r="76" spans="1:38" ht="17.25" customHeight="1" x14ac:dyDescent="0.25">
      <c r="A76" s="33"/>
      <c r="B76" s="10"/>
      <c r="C76" s="10"/>
      <c r="D76" s="10"/>
      <c r="E76" s="10"/>
      <c r="F76" s="10"/>
      <c r="G76" s="24"/>
      <c r="H76" s="10"/>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row>
    <row r="77" spans="1:38" ht="17.25" hidden="1" customHeight="1" x14ac:dyDescent="0.25">
      <c r="A77" s="60" t="s">
        <v>69</v>
      </c>
      <c r="B77" s="56"/>
      <c r="C77" s="56"/>
      <c r="D77" s="56"/>
      <c r="E77" s="56"/>
      <c r="F77" s="56"/>
      <c r="G77" s="87"/>
      <c r="H77" s="10"/>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row>
    <row r="78" spans="1:38" ht="17.25" hidden="1" customHeight="1" x14ac:dyDescent="0.25">
      <c r="A78" s="88" t="s">
        <v>70</v>
      </c>
      <c r="B78" s="89"/>
      <c r="C78" s="90"/>
      <c r="D78" s="91" t="s">
        <v>71</v>
      </c>
      <c r="E78" s="170" t="e">
        <f>IF(G30="",E30+1-(4*7),G30+1-(4*7))</f>
        <v>#VALUE!</v>
      </c>
      <c r="F78" s="91" t="s">
        <v>72</v>
      </c>
      <c r="G78" s="92" t="e">
        <f>IF(G30="",E30+1-(8*7),G30+1-(8*7))</f>
        <v>#VALUE!</v>
      </c>
      <c r="H78" s="10"/>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row>
    <row r="79" spans="1:38" ht="17.25" hidden="1" customHeight="1" x14ac:dyDescent="0.25">
      <c r="A79" s="60" t="s">
        <v>73</v>
      </c>
      <c r="B79" s="56"/>
      <c r="C79" s="56" t="s">
        <v>199</v>
      </c>
      <c r="D79" s="62" t="s">
        <v>201</v>
      </c>
      <c r="E79" s="56" t="s">
        <v>74</v>
      </c>
      <c r="F79" s="56" t="s">
        <v>75</v>
      </c>
      <c r="G79" s="87"/>
      <c r="H79" s="10"/>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row>
    <row r="80" spans="1:38" ht="17.25" hidden="1" customHeight="1" x14ac:dyDescent="0.25">
      <c r="A80" s="278">
        <f t="shared" ref="A80:A91" si="5">DATE(D80,E80,C80)</f>
        <v>46023</v>
      </c>
      <c r="B80" s="93"/>
      <c r="C80" s="277">
        <v>1</v>
      </c>
      <c r="D80" s="62">
        <f>$B$8</f>
        <v>2026</v>
      </c>
      <c r="E80" s="56">
        <v>1</v>
      </c>
      <c r="F80" s="56">
        <f>SUM(IF(ISBLANK(BarselsfondenTilskud!$F$58),0,(MAX(0,NETWORKDAYS(MAX(0,$A80,BarselsfondenTilskud!$E$58),MIN(EOMONTH($A80,0),BarselsfondenTilskud!$F$58))))),IF(ISBLANK(BarselsfondenTilskud!$F$59),0,MAX(0,NETWORKDAYS(MAX(0,$A80,BarselsfondenTilskud!$E$59),MIN(EOMONTH($A80,0),BarselsfondenTilskud!$F$59)))),IF(ISBLANK(BarselsfondenTilskud!$F$60),0,MAX(0,NETWORKDAYS(MAX(0,$A80,BarselsfondenTilskud!$E$60),MIN(EOMONTH($A80,0),BarselsfondenTilskud!$F$60)))),IF(ISBLANK(BarselsfondenTilskud!$F$61),0,MAX(0,NETWORKDAYS(MAX(0,$A80,BarselsfondenTilskud!$E$61),MIN(EOMONTH($A80,0),BarselsfondenTilskud!$F$61)))))</f>
        <v>0</v>
      </c>
      <c r="G80" s="87"/>
      <c r="H80" s="10"/>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row>
    <row r="81" spans="1:38" ht="17.25" hidden="1" customHeight="1" x14ac:dyDescent="0.25">
      <c r="A81" s="278">
        <f t="shared" si="5"/>
        <v>46054</v>
      </c>
      <c r="B81" s="93"/>
      <c r="C81" s="277">
        <v>1</v>
      </c>
      <c r="D81" s="62">
        <f t="shared" ref="D81:D91" si="6">$B$8</f>
        <v>2026</v>
      </c>
      <c r="E81" s="56">
        <v>2</v>
      </c>
      <c r="F81" s="56">
        <f>SUM(IF(ISBLANK(BarselsfondenTilskud!$F$58),0,(MAX(0,NETWORKDAYS(MAX(0,$A81,BarselsfondenTilskud!$E$58),MIN(EOMONTH($A81,0),BarselsfondenTilskud!$F$58))))),IF(ISBLANK(BarselsfondenTilskud!$F$59),0,MAX(0,NETWORKDAYS(MAX(0,$A81,BarselsfondenTilskud!$E$59),MIN(EOMONTH($A81,0),BarselsfondenTilskud!$F$59)))),IF(ISBLANK(BarselsfondenTilskud!$F$60),0,MAX(0,NETWORKDAYS(MAX(0,$A81,BarselsfondenTilskud!$E$60),MIN(EOMONTH($A81,0),BarselsfondenTilskud!$F$60)))),IF(ISBLANK(BarselsfondenTilskud!$F$61),0,MAX(0,NETWORKDAYS(MAX(0,$A81,BarselsfondenTilskud!$E$61),MIN(EOMONTH($A81,0),BarselsfondenTilskud!$F$61)))))</f>
        <v>0</v>
      </c>
      <c r="G81" s="87"/>
      <c r="H81" s="10"/>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row>
    <row r="82" spans="1:38" ht="17.25" hidden="1" customHeight="1" x14ac:dyDescent="0.25">
      <c r="A82" s="278">
        <f t="shared" si="5"/>
        <v>46082</v>
      </c>
      <c r="B82" s="93"/>
      <c r="C82" s="277">
        <v>1</v>
      </c>
      <c r="D82" s="62">
        <f t="shared" si="6"/>
        <v>2026</v>
      </c>
      <c r="E82" s="56">
        <v>3</v>
      </c>
      <c r="F82" s="56">
        <f>SUM(IF(ISBLANK(BarselsfondenTilskud!$F$58),0,(MAX(0,NETWORKDAYS(MAX(0,$A82,BarselsfondenTilskud!$E$58),MIN(EOMONTH($A82,0),BarselsfondenTilskud!$F$58))))),IF(ISBLANK(BarselsfondenTilskud!$F$59),0,MAX(0,NETWORKDAYS(MAX(0,$A82,BarselsfondenTilskud!$E$59),MIN(EOMONTH($A82,0),BarselsfondenTilskud!$F$59)))),IF(ISBLANK(BarselsfondenTilskud!$F$60),0,MAX(0,NETWORKDAYS(MAX(0,$A82,BarselsfondenTilskud!$E$60),MIN(EOMONTH($A82,0),BarselsfondenTilskud!$F$60)))),IF(ISBLANK(BarselsfondenTilskud!$F$61),0,MAX(0,NETWORKDAYS(MAX(0,$A82,BarselsfondenTilskud!$E$61),MIN(EOMONTH($A82,0),BarselsfondenTilskud!$F$61)))))</f>
        <v>0</v>
      </c>
      <c r="G82" s="87"/>
      <c r="H82" s="10"/>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row>
    <row r="83" spans="1:38" ht="17.25" hidden="1" customHeight="1" x14ac:dyDescent="0.25">
      <c r="A83" s="278">
        <f t="shared" si="5"/>
        <v>46113</v>
      </c>
      <c r="B83" s="93"/>
      <c r="C83" s="277">
        <v>1</v>
      </c>
      <c r="D83" s="62">
        <f t="shared" si="6"/>
        <v>2026</v>
      </c>
      <c r="E83" s="56">
        <v>4</v>
      </c>
      <c r="F83" s="56">
        <f>SUM(IF(ISBLANK(BarselsfondenTilskud!$F$58),0,(MAX(0,NETWORKDAYS(MAX(0,$A83,BarselsfondenTilskud!$E$58),MIN(EOMONTH($A83,0),BarselsfondenTilskud!$F$58))))),IF(ISBLANK(BarselsfondenTilskud!$F$59),0,MAX(0,NETWORKDAYS(MAX(0,$A83,BarselsfondenTilskud!$E$59),MIN(EOMONTH($A83,0),BarselsfondenTilskud!$F$59)))),IF(ISBLANK(BarselsfondenTilskud!$F$60),0,MAX(0,NETWORKDAYS(MAX(0,$A83,BarselsfondenTilskud!$E$60),MIN(EOMONTH($A83,0),BarselsfondenTilskud!$F$60)))),IF(ISBLANK(BarselsfondenTilskud!$F$61),0,MAX(0,NETWORKDAYS(MAX(0,$A83,BarselsfondenTilskud!$E$61),MIN(EOMONTH($A83,0),BarselsfondenTilskud!$F$61)))))</f>
        <v>0</v>
      </c>
      <c r="G83" s="87"/>
      <c r="H83" s="10"/>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row>
    <row r="84" spans="1:38" ht="17.25" hidden="1" customHeight="1" x14ac:dyDescent="0.25">
      <c r="A84" s="278">
        <f t="shared" si="5"/>
        <v>46143</v>
      </c>
      <c r="B84" s="93"/>
      <c r="C84" s="277">
        <v>1</v>
      </c>
      <c r="D84" s="62">
        <f t="shared" si="6"/>
        <v>2026</v>
      </c>
      <c r="E84" s="56">
        <v>5</v>
      </c>
      <c r="F84" s="56">
        <f>SUM(IF(ISBLANK(BarselsfondenTilskud!$F$58),0,(MAX(0,NETWORKDAYS(MAX(0,$A84,BarselsfondenTilskud!$E$58),MIN(EOMONTH($A84,0),BarselsfondenTilskud!$F$58))))),IF(ISBLANK(BarselsfondenTilskud!$F$59),0,MAX(0,NETWORKDAYS(MAX(0,$A84,BarselsfondenTilskud!$E$59),MIN(EOMONTH($A84,0),BarselsfondenTilskud!$F$59)))),IF(ISBLANK(BarselsfondenTilskud!$F$60),0,MAX(0,NETWORKDAYS(MAX(0,$A84,BarselsfondenTilskud!$E$60),MIN(EOMONTH($A84,0),BarselsfondenTilskud!$F$60)))),IF(ISBLANK(BarselsfondenTilskud!$F$61),0,MAX(0,NETWORKDAYS(MAX(0,$A84,BarselsfondenTilskud!$E$61),MIN(EOMONTH($A84,0),BarselsfondenTilskud!$F$61)))))</f>
        <v>0</v>
      </c>
      <c r="G84" s="87"/>
      <c r="H84" s="10"/>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row>
    <row r="85" spans="1:38" ht="17.25" hidden="1" customHeight="1" x14ac:dyDescent="0.25">
      <c r="A85" s="278">
        <f t="shared" si="5"/>
        <v>46174</v>
      </c>
      <c r="B85" s="93"/>
      <c r="C85" s="277">
        <v>1</v>
      </c>
      <c r="D85" s="62">
        <f t="shared" si="6"/>
        <v>2026</v>
      </c>
      <c r="E85" s="56">
        <v>6</v>
      </c>
      <c r="F85" s="56">
        <f>SUM(IF(ISBLANK(BarselsfondenTilskud!$F$58),0,(MAX(0,NETWORKDAYS(MAX(0,$A85,BarselsfondenTilskud!$E$58),MIN(EOMONTH($A85,0),BarselsfondenTilskud!$F$58))))),IF(ISBLANK(BarselsfondenTilskud!$F$59),0,MAX(0,NETWORKDAYS(MAX(0,$A85,BarselsfondenTilskud!$E$59),MIN(EOMONTH($A85,0),BarselsfondenTilskud!$F$59)))),IF(ISBLANK(BarselsfondenTilskud!$F$60),0,MAX(0,NETWORKDAYS(MAX(0,$A85,BarselsfondenTilskud!$E$60),MIN(EOMONTH($A85,0),BarselsfondenTilskud!$F$60)))),IF(ISBLANK(BarselsfondenTilskud!$F$61),0,MAX(0,NETWORKDAYS(MAX(0,$A85,BarselsfondenTilskud!$E$61),MIN(EOMONTH($A85,0),BarselsfondenTilskud!$F$61)))))</f>
        <v>0</v>
      </c>
      <c r="G85" s="87"/>
      <c r="H85" s="10"/>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row>
    <row r="86" spans="1:38" ht="17.25" hidden="1" customHeight="1" x14ac:dyDescent="0.25">
      <c r="A86" s="278">
        <f t="shared" si="5"/>
        <v>46204</v>
      </c>
      <c r="B86" s="93"/>
      <c r="C86" s="277">
        <v>1</v>
      </c>
      <c r="D86" s="62">
        <f t="shared" si="6"/>
        <v>2026</v>
      </c>
      <c r="E86" s="56">
        <v>7</v>
      </c>
      <c r="F86" s="56">
        <f>SUM(IF(ISBLANK(BarselsfondenTilskud!$F$58),0,(MAX(0,NETWORKDAYS(MAX(0,$A86,BarselsfondenTilskud!$E$58),MIN(EOMONTH($A86,0),BarselsfondenTilskud!$F$58))))),IF(ISBLANK(BarselsfondenTilskud!$F$59),0,MAX(0,NETWORKDAYS(MAX(0,$A86,BarselsfondenTilskud!$E$59),MIN(EOMONTH($A86,0),BarselsfondenTilskud!$F$59)))),IF(ISBLANK(BarselsfondenTilskud!$F$60),0,MAX(0,NETWORKDAYS(MAX(0,$A86,BarselsfondenTilskud!$E$60),MIN(EOMONTH($A86,0),BarselsfondenTilskud!$F$60)))),IF(ISBLANK(BarselsfondenTilskud!$F$61),0,MAX(0,NETWORKDAYS(MAX(0,$A86,BarselsfondenTilskud!$E$61),MIN(EOMONTH($A86,0),BarselsfondenTilskud!$F$61)))))</f>
        <v>0</v>
      </c>
      <c r="G86" s="87"/>
      <c r="H86" s="10"/>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row>
    <row r="87" spans="1:38" ht="17.25" hidden="1" customHeight="1" x14ac:dyDescent="0.25">
      <c r="A87" s="278">
        <f t="shared" si="5"/>
        <v>46235</v>
      </c>
      <c r="B87" s="93"/>
      <c r="C87" s="277">
        <v>1</v>
      </c>
      <c r="D87" s="62">
        <f t="shared" si="6"/>
        <v>2026</v>
      </c>
      <c r="E87" s="56">
        <v>8</v>
      </c>
      <c r="F87" s="56">
        <f>SUM(IF(ISBLANK(BarselsfondenTilskud!$F$58),0,(MAX(0,NETWORKDAYS(MAX(0,$A87,BarselsfondenTilskud!$E$58),MIN(EOMONTH($A87,0),BarselsfondenTilskud!$F$58))))),IF(ISBLANK(BarselsfondenTilskud!$F$59),0,MAX(0,NETWORKDAYS(MAX(0,$A87,BarselsfondenTilskud!$E$59),MIN(EOMONTH($A87,0),BarselsfondenTilskud!$F$59)))),IF(ISBLANK(BarselsfondenTilskud!$F$60),0,MAX(0,NETWORKDAYS(MAX(0,$A87,BarselsfondenTilskud!$E$60),MIN(EOMONTH($A87,0),BarselsfondenTilskud!$F$60)))),IF(ISBLANK(BarselsfondenTilskud!$F$61),0,MAX(0,NETWORKDAYS(MAX(0,$A87,BarselsfondenTilskud!$E$61),MIN(EOMONTH($A87,0),BarselsfondenTilskud!$F$61)))))</f>
        <v>0</v>
      </c>
      <c r="G87" s="87"/>
      <c r="H87" s="10"/>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row>
    <row r="88" spans="1:38" ht="17.25" hidden="1" customHeight="1" x14ac:dyDescent="0.25">
      <c r="A88" s="278">
        <f t="shared" si="5"/>
        <v>46266</v>
      </c>
      <c r="B88" s="93"/>
      <c r="C88" s="277">
        <v>1</v>
      </c>
      <c r="D88" s="62">
        <f t="shared" si="6"/>
        <v>2026</v>
      </c>
      <c r="E88" s="56">
        <v>9</v>
      </c>
      <c r="F88" s="56">
        <f>SUM(IF(ISBLANK(BarselsfondenTilskud!$F$58),0,(MAX(0,NETWORKDAYS(MAX(0,$A88,BarselsfondenTilskud!$E$58),MIN(EOMONTH($A88,0),BarselsfondenTilskud!$F$58))))),IF(ISBLANK(BarselsfondenTilskud!$F$59),0,MAX(0,NETWORKDAYS(MAX(0,$A88,BarselsfondenTilskud!$E$59),MIN(EOMONTH($A88,0),BarselsfondenTilskud!$F$59)))),IF(ISBLANK(BarselsfondenTilskud!$F$60),0,MAX(0,NETWORKDAYS(MAX(0,$A88,BarselsfondenTilskud!$E$60),MIN(EOMONTH($A88,0),BarselsfondenTilskud!$F$60)))),IF(ISBLANK(BarselsfondenTilskud!$F$61),0,MAX(0,NETWORKDAYS(MAX(0,$A88,BarselsfondenTilskud!$E$61),MIN(EOMONTH($A88,0),BarselsfondenTilskud!$F$61)))))</f>
        <v>0</v>
      </c>
      <c r="G88" s="87"/>
      <c r="H88" s="10"/>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row>
    <row r="89" spans="1:38" ht="17.25" hidden="1" customHeight="1" x14ac:dyDescent="0.25">
      <c r="A89" s="278">
        <f t="shared" si="5"/>
        <v>46296</v>
      </c>
      <c r="B89" s="93"/>
      <c r="C89" s="277">
        <v>1</v>
      </c>
      <c r="D89" s="62">
        <f t="shared" si="6"/>
        <v>2026</v>
      </c>
      <c r="E89" s="56">
        <v>10</v>
      </c>
      <c r="F89" s="56">
        <f>SUM(IF(ISBLANK(BarselsfondenTilskud!$F$58),0,(MAX(0,NETWORKDAYS(MAX(0,$A89,BarselsfondenTilskud!$E$58),MIN(EOMONTH($A89,0),BarselsfondenTilskud!$F$58))))),IF(ISBLANK(BarselsfondenTilskud!$F$59),0,MAX(0,NETWORKDAYS(MAX(0,$A89,BarselsfondenTilskud!$E$59),MIN(EOMONTH($A89,0),BarselsfondenTilskud!$F$59)))),IF(ISBLANK(BarselsfondenTilskud!$F$60),0,MAX(0,NETWORKDAYS(MAX(0,$A89,BarselsfondenTilskud!$E$60),MIN(EOMONTH($A89,0),BarselsfondenTilskud!$F$60)))),IF(ISBLANK(BarselsfondenTilskud!$F$61),0,MAX(0,NETWORKDAYS(MAX(0,$A89,BarselsfondenTilskud!$E$61),MIN(EOMONTH($A89,0),BarselsfondenTilskud!$F$61)))))</f>
        <v>0</v>
      </c>
      <c r="G89" s="87"/>
      <c r="H89" s="10"/>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row>
    <row r="90" spans="1:38" ht="17.25" hidden="1" customHeight="1" x14ac:dyDescent="0.25">
      <c r="A90" s="278">
        <f t="shared" si="5"/>
        <v>46327</v>
      </c>
      <c r="B90" s="93"/>
      <c r="C90" s="277">
        <v>1</v>
      </c>
      <c r="D90" s="62">
        <f t="shared" si="6"/>
        <v>2026</v>
      </c>
      <c r="E90" s="56">
        <v>11</v>
      </c>
      <c r="F90" s="56">
        <f>SUM(IF(ISBLANK(BarselsfondenTilskud!$F$58),0,(MAX(0,NETWORKDAYS(MAX(0,$A90,BarselsfondenTilskud!$E$58),MIN(EOMONTH($A90,0),BarselsfondenTilskud!$F$58))))),IF(ISBLANK(BarselsfondenTilskud!$F$59),0,MAX(0,NETWORKDAYS(MAX(0,$A90,BarselsfondenTilskud!$E$59),MIN(EOMONTH($A90,0),BarselsfondenTilskud!$F$59)))),IF(ISBLANK(BarselsfondenTilskud!$F$60),0,MAX(0,NETWORKDAYS(MAX(0,$A90,BarselsfondenTilskud!$E$60),MIN(EOMONTH($A90,0),BarselsfondenTilskud!$F$60)))),IF(ISBLANK(BarselsfondenTilskud!$F$61),0,MAX(0,NETWORKDAYS(MAX(0,$A90,BarselsfondenTilskud!$E$61),MIN(EOMONTH($A90,0),BarselsfondenTilskud!$F$61)))))</f>
        <v>0</v>
      </c>
      <c r="G90" s="87"/>
      <c r="H90" s="10"/>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row>
    <row r="91" spans="1:38" ht="17.25" hidden="1" customHeight="1" x14ac:dyDescent="0.25">
      <c r="A91" s="278">
        <f t="shared" si="5"/>
        <v>46357</v>
      </c>
      <c r="B91" s="93"/>
      <c r="C91" s="277">
        <v>1</v>
      </c>
      <c r="D91" s="62">
        <f t="shared" si="6"/>
        <v>2026</v>
      </c>
      <c r="E91" s="56">
        <v>12</v>
      </c>
      <c r="F91" s="56">
        <f>SUM(IF(ISBLANK(BarselsfondenTilskud!$F$58),0,(MAX(0,NETWORKDAYS(MAX(0,$A91,BarselsfondenTilskud!$E$58),MIN(EOMONTH($A91,0),BarselsfondenTilskud!$F$58))))),IF(ISBLANK(BarselsfondenTilskud!$F$59),0,MAX(0,NETWORKDAYS(MAX(0,$A91,BarselsfondenTilskud!$E$59),MIN(EOMONTH($A91,0),BarselsfondenTilskud!$F$59)))),IF(ISBLANK(BarselsfondenTilskud!$F$60),0,MAX(0,NETWORKDAYS(MAX(0,$A91,BarselsfondenTilskud!$E$60),MIN(EOMONTH($A91,0),BarselsfondenTilskud!$F$60)))),IF(ISBLANK(BarselsfondenTilskud!$F$61),0,MAX(0,NETWORKDAYS(MAX(0,$A91,BarselsfondenTilskud!$E$61),MIN(EOMONTH($A91,0),BarselsfondenTilskud!$F$61)))))</f>
        <v>0</v>
      </c>
      <c r="G91" s="87"/>
      <c r="H91" s="10"/>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row>
    <row r="92" spans="1:38" ht="17.25" hidden="1" customHeight="1" x14ac:dyDescent="0.25">
      <c r="A92" s="60"/>
      <c r="B92" s="56"/>
      <c r="C92" s="56"/>
      <c r="D92" s="56"/>
      <c r="E92" s="56"/>
      <c r="F92" s="56">
        <f>SUM(F80:F91)</f>
        <v>0</v>
      </c>
      <c r="G92" s="87"/>
      <c r="H92" s="10"/>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row>
    <row r="93" spans="1:38" ht="17.25" hidden="1" customHeight="1" x14ac:dyDescent="0.25">
      <c r="A93" s="60"/>
      <c r="B93" s="56"/>
      <c r="C93" s="56"/>
      <c r="D93" s="56"/>
      <c r="E93" s="56"/>
      <c r="F93" s="56"/>
      <c r="G93" s="87"/>
      <c r="H93" s="10"/>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row>
    <row r="94" spans="1:38" ht="17.25" hidden="1" customHeight="1" x14ac:dyDescent="0.25">
      <c r="A94" s="94" t="s">
        <v>76</v>
      </c>
      <c r="B94" s="95"/>
      <c r="C94" s="95"/>
      <c r="D94" s="95"/>
      <c r="E94" s="95"/>
      <c r="F94" s="95"/>
      <c r="G94" s="87"/>
      <c r="H94" s="10"/>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row>
    <row r="95" spans="1:38" ht="17.25" hidden="1" customHeight="1" x14ac:dyDescent="0.25">
      <c r="A95" s="94" t="s">
        <v>77</v>
      </c>
      <c r="B95" s="95"/>
      <c r="C95" s="95"/>
      <c r="D95" s="95"/>
      <c r="E95" s="95"/>
      <c r="F95" s="95"/>
      <c r="G95" s="87"/>
      <c r="H95" s="10"/>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row>
    <row r="96" spans="1:38" ht="17.25" hidden="1" customHeight="1" x14ac:dyDescent="0.25">
      <c r="A96" s="175" t="s">
        <v>78</v>
      </c>
      <c r="B96" s="62"/>
      <c r="C96" s="97"/>
      <c r="D96" s="62"/>
      <c r="E96" s="95"/>
      <c r="F96" s="62"/>
      <c r="G96" s="87"/>
      <c r="H96" s="10"/>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row>
    <row r="97" spans="1:38" ht="17.25" hidden="1" customHeight="1" x14ac:dyDescent="0.25">
      <c r="A97" s="175"/>
      <c r="B97" s="62"/>
      <c r="C97" s="97"/>
      <c r="D97" s="62"/>
      <c r="E97" s="95"/>
      <c r="F97" s="62"/>
      <c r="G97" s="87"/>
      <c r="H97" s="10"/>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row>
    <row r="98" spans="1:38" ht="17.25" hidden="1" customHeight="1" x14ac:dyDescent="0.25">
      <c r="A98" s="94"/>
      <c r="B98" s="176" t="s">
        <v>79</v>
      </c>
      <c r="C98" s="177"/>
      <c r="D98" s="176" t="s">
        <v>80</v>
      </c>
      <c r="E98" s="95"/>
      <c r="F98" s="95" t="s">
        <v>37</v>
      </c>
      <c r="G98" s="87"/>
      <c r="H98" s="10"/>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row>
    <row r="99" spans="1:38" ht="17.25" hidden="1" customHeight="1" x14ac:dyDescent="0.25">
      <c r="A99" s="96" t="s">
        <v>81</v>
      </c>
      <c r="B99" s="325" t="e">
        <f>MONTH(B102)</f>
        <v>#VALUE!</v>
      </c>
      <c r="C99" s="325"/>
      <c r="D99" s="95" t="e">
        <f>MONTH(BarselsfondenTilskud!M31)</f>
        <v>#VALUE!</v>
      </c>
      <c r="E99" s="95"/>
      <c r="F99" s="95" t="s">
        <v>82</v>
      </c>
      <c r="G99" s="87" t="s">
        <v>83</v>
      </c>
      <c r="H99" s="10"/>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row>
    <row r="100" spans="1:38" ht="17.25" hidden="1" customHeight="1" x14ac:dyDescent="0.25">
      <c r="A100" s="96" t="s">
        <v>84</v>
      </c>
      <c r="B100" s="98" t="e">
        <f>EOMONTH(B102,0)</f>
        <v>#VALUE!</v>
      </c>
      <c r="C100" s="97"/>
      <c r="D100" s="98" t="e">
        <f>EOMONTH(BarselsfondenTilskud!M31,0)</f>
        <v>#VALUE!</v>
      </c>
      <c r="E100" s="95"/>
      <c r="F100" s="197" t="str">
        <f>E31</f>
        <v>xx-xx-xxxx</v>
      </c>
      <c r="G100" s="198" t="str">
        <f>G31</f>
        <v>xx-xx-xxxx</v>
      </c>
      <c r="H100" s="10"/>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row>
    <row r="101" spans="1:38" ht="17.25" hidden="1" customHeight="1" thickBot="1" x14ac:dyDescent="0.3">
      <c r="A101" s="96" t="s">
        <v>85</v>
      </c>
      <c r="B101" s="172" t="e">
        <f>IF(K69,B136,B140)</f>
        <v>#VALUE!</v>
      </c>
      <c r="C101" s="97"/>
      <c r="D101" s="98" t="str">
        <f>BarselsfondenTilskud!M31</f>
        <v>xx-xx-xxxx</v>
      </c>
      <c r="E101" s="95"/>
      <c r="F101" s="95" t="s">
        <v>86</v>
      </c>
      <c r="G101" s="87"/>
      <c r="H101" s="10"/>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row>
    <row r="102" spans="1:38" ht="17.25" hidden="1" customHeight="1" thickBot="1" x14ac:dyDescent="0.3">
      <c r="A102" s="96" t="s">
        <v>87</v>
      </c>
      <c r="B102" s="213" t="e">
        <f xml:space="preserve"> IF(B101&lt;0,B101,
IF(B101&lt;=F100,F100,B101))</f>
        <v>#VALUE!</v>
      </c>
      <c r="C102" s="97"/>
      <c r="D102" s="98"/>
      <c r="E102" s="95"/>
      <c r="F102" s="171">
        <f>DATE(B8,1,1)</f>
        <v>46023</v>
      </c>
      <c r="G102" s="87"/>
      <c r="H102" s="10"/>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row>
    <row r="103" spans="1:38" ht="17.25" hidden="1" customHeight="1" x14ac:dyDescent="0.25">
      <c r="A103" s="96" t="s">
        <v>88</v>
      </c>
      <c r="B103" s="98" t="e">
        <f>DATE(YEAR(BarselsfondenTilskud!L31),B99, 1)</f>
        <v>#VALUE!</v>
      </c>
      <c r="C103" s="97"/>
      <c r="D103" s="98" t="e">
        <f>DATE(YEAR(BarselsfondenTilskud!$M$31),D99, 1)</f>
        <v>#VALUE!</v>
      </c>
      <c r="E103" s="95"/>
      <c r="F103" s="95"/>
      <c r="G103" s="87"/>
      <c r="H103" s="10"/>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row>
    <row r="104" spans="1:38" ht="17.25" hidden="1" customHeight="1" x14ac:dyDescent="0.25">
      <c r="A104" s="203" t="s">
        <v>89</v>
      </c>
      <c r="B104" s="98"/>
      <c r="C104" s="97"/>
      <c r="D104" s="98"/>
      <c r="E104" s="95"/>
      <c r="F104" s="95"/>
      <c r="G104" s="87"/>
      <c r="H104" s="10"/>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row>
    <row r="105" spans="1:38" ht="17.25" hidden="1" customHeight="1" x14ac:dyDescent="0.25">
      <c r="A105" s="96" t="s">
        <v>90</v>
      </c>
      <c r="B105" s="98"/>
      <c r="C105" s="97"/>
      <c r="D105" s="98" t="e">
        <f>IF(B99=D99,TRUE,FALSE)</f>
        <v>#VALUE!</v>
      </c>
      <c r="E105" s="95"/>
      <c r="F105" s="95"/>
      <c r="G105" s="87"/>
      <c r="H105" s="10"/>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row>
    <row r="106" spans="1:38" ht="17.25" hidden="1" customHeight="1" x14ac:dyDescent="0.25">
      <c r="A106" s="96" t="s">
        <v>91</v>
      </c>
      <c r="B106" s="98"/>
      <c r="C106" s="97"/>
      <c r="D106" s="98" t="e">
        <f>IF(NETWORKDAYS(B102,D101)=NETWORKDAYS(B103,B100),FALSE,TRUE)</f>
        <v>#VALUE!</v>
      </c>
      <c r="E106" s="95"/>
      <c r="F106" s="95"/>
      <c r="G106" s="87"/>
      <c r="H106" s="10"/>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row>
    <row r="107" spans="1:38" ht="17.25" hidden="1" customHeight="1" x14ac:dyDescent="0.25">
      <c r="A107" s="96"/>
      <c r="B107" s="98"/>
      <c r="C107" s="97"/>
      <c r="D107" s="98"/>
      <c r="E107" s="95"/>
      <c r="F107" s="95"/>
      <c r="G107" s="87"/>
      <c r="H107" s="10"/>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row>
    <row r="108" spans="1:38" ht="17.25" hidden="1" customHeight="1" x14ac:dyDescent="0.25">
      <c r="A108" s="203" t="s">
        <v>92</v>
      </c>
      <c r="B108" s="98"/>
      <c r="C108" s="97"/>
      <c r="D108" s="98"/>
      <c r="E108" s="95"/>
      <c r="F108" s="95"/>
      <c r="G108" s="87"/>
      <c r="H108" s="10"/>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row>
    <row r="109" spans="1:38" ht="17.25" hidden="1" customHeight="1" x14ac:dyDescent="0.25">
      <c r="A109" s="96" t="s">
        <v>93</v>
      </c>
      <c r="B109" s="98" t="e">
        <f>IF(AND(D105=TRUE,D106=TRUE),TRUE,
IF(NETWORKDAYS(B100,B103)&lt;&gt;NETWORKDAYS(B100,B102),TRUE,FALSE))</f>
        <v>#VALUE!</v>
      </c>
      <c r="C109" s="97"/>
      <c r="D109" s="98" t="e">
        <f>IF(NETWORKDAYS(D100,D103)&lt;&gt;NETWORKDAYS(D101,D103),TRUE,FALSE)</f>
        <v>#VALUE!</v>
      </c>
      <c r="E109" s="95" t="s">
        <v>54</v>
      </c>
      <c r="F109" s="95"/>
      <c r="G109" s="87"/>
      <c r="H109" s="10"/>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row>
    <row r="110" spans="1:38" ht="17.25" hidden="1" customHeight="1" x14ac:dyDescent="0.25">
      <c r="A110" s="96" t="s">
        <v>94</v>
      </c>
      <c r="B110" s="95" t="e">
        <f xml:space="preserve"> IF(B99&lt;&gt;D99,
NETWORKDAYS(B102,B100),
NETWORKDAYS(B102,D101))</f>
        <v>#VALUE!</v>
      </c>
      <c r="C110" s="97"/>
      <c r="D110" s="95" t="e">
        <f xml:space="preserve">
IF(D99&lt;&gt;B99,
NETWORKDAYS(D103,D101),
0)</f>
        <v>#VALUE!</v>
      </c>
      <c r="E110" s="95" t="e">
        <f>NETWORKDAYS(B103,B100)</f>
        <v>#VALUE!</v>
      </c>
      <c r="F110" s="95"/>
      <c r="G110" s="87"/>
      <c r="H110" s="10"/>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row>
    <row r="111" spans="1:38" ht="17.25" hidden="1" customHeight="1" x14ac:dyDescent="0.25">
      <c r="A111" s="96"/>
      <c r="B111" s="95"/>
      <c r="C111" s="97"/>
      <c r="D111" s="95"/>
      <c r="E111" s="95" t="e">
        <f>NETWORKDAYS(B102,B100)</f>
        <v>#VALUE!</v>
      </c>
      <c r="F111" s="95"/>
      <c r="G111" s="87"/>
      <c r="H111" s="10"/>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row>
    <row r="112" spans="1:38" ht="17.25" hidden="1" customHeight="1" x14ac:dyDescent="0.3">
      <c r="A112" s="193" t="s">
        <v>95</v>
      </c>
      <c r="B112" s="188"/>
      <c r="C112" s="188"/>
      <c r="D112" s="188"/>
      <c r="E112" s="188"/>
      <c r="F112" s="188"/>
      <c r="G112" s="189"/>
      <c r="H112" s="10"/>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row>
    <row r="113" spans="1:38" ht="17.25" hidden="1" customHeight="1" x14ac:dyDescent="0.25">
      <c r="A113" s="194" t="s">
        <v>96</v>
      </c>
      <c r="B113" s="188"/>
      <c r="C113" s="188"/>
      <c r="D113" s="188"/>
      <c r="E113" s="188"/>
      <c r="F113" s="188"/>
      <c r="G113" s="189"/>
      <c r="H113" s="10"/>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row>
    <row r="114" spans="1:38" ht="17.25" hidden="1" customHeight="1" x14ac:dyDescent="0.25">
      <c r="A114" s="195"/>
      <c r="B114" s="188"/>
      <c r="C114" s="191"/>
      <c r="D114" s="188" t="s">
        <v>97</v>
      </c>
      <c r="E114" s="188" t="s">
        <v>33</v>
      </c>
      <c r="F114" s="188"/>
      <c r="G114" s="189"/>
      <c r="H114" s="10"/>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row>
    <row r="115" spans="1:38" ht="17.25" hidden="1" customHeight="1" x14ac:dyDescent="0.25">
      <c r="A115" s="190" t="s">
        <v>98</v>
      </c>
      <c r="B115" s="188"/>
      <c r="C115" s="191"/>
      <c r="D115" s="196" t="str">
        <f>E31</f>
        <v>xx-xx-xxxx</v>
      </c>
      <c r="E115" s="196" t="str">
        <f>G31</f>
        <v>xx-xx-xxxx</v>
      </c>
      <c r="F115" s="188"/>
      <c r="G115" s="189"/>
      <c r="H115" s="10"/>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row>
    <row r="116" spans="1:38" ht="17.25" hidden="1" customHeight="1" x14ac:dyDescent="0.25">
      <c r="A116" s="190" t="s">
        <v>99</v>
      </c>
      <c r="B116" s="188"/>
      <c r="C116" s="188"/>
      <c r="D116" s="188"/>
      <c r="E116" s="188"/>
      <c r="F116" s="188"/>
      <c r="G116" s="189"/>
      <c r="H116" s="10"/>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row>
    <row r="117" spans="1:38" ht="17.25" hidden="1" customHeight="1" x14ac:dyDescent="0.25">
      <c r="A117" s="190"/>
      <c r="B117" s="188"/>
      <c r="C117" s="188"/>
      <c r="D117" s="188"/>
      <c r="E117" s="188"/>
      <c r="F117" s="188"/>
      <c r="G117" s="189"/>
      <c r="H117" s="10"/>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row>
    <row r="118" spans="1:38" ht="17.25" hidden="1" customHeight="1" x14ac:dyDescent="0.25">
      <c r="A118" s="190"/>
      <c r="B118" s="188"/>
      <c r="C118" s="188"/>
      <c r="D118" s="188"/>
      <c r="E118" s="188"/>
      <c r="F118" s="188"/>
      <c r="G118" s="189"/>
      <c r="H118" s="10"/>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row>
    <row r="119" spans="1:38" ht="17.25" hidden="1" customHeight="1" x14ac:dyDescent="0.25">
      <c r="A119" s="190"/>
      <c r="B119" s="188"/>
      <c r="C119" s="188"/>
      <c r="D119" s="188"/>
      <c r="E119" s="188"/>
      <c r="F119" s="188"/>
      <c r="G119" s="189"/>
      <c r="H119" s="10"/>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row>
    <row r="120" spans="1:38" ht="17.25" hidden="1" customHeight="1" x14ac:dyDescent="0.25">
      <c r="A120" s="190"/>
      <c r="B120" s="188"/>
      <c r="C120" s="188"/>
      <c r="D120" s="188"/>
      <c r="E120" s="188"/>
      <c r="F120" s="188"/>
      <c r="G120" s="189"/>
      <c r="H120" s="10"/>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row>
    <row r="121" spans="1:38" ht="17.25" hidden="1" customHeight="1" x14ac:dyDescent="0.25">
      <c r="A121" s="190"/>
      <c r="B121" s="188"/>
      <c r="C121" s="188"/>
      <c r="D121" s="188"/>
      <c r="E121" s="188"/>
      <c r="F121" s="188"/>
      <c r="G121" s="189"/>
      <c r="H121" s="10"/>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row>
    <row r="122" spans="1:38" ht="17.25" hidden="1" customHeight="1" x14ac:dyDescent="0.25">
      <c r="A122" s="190"/>
      <c r="B122" s="188"/>
      <c r="C122" s="188"/>
      <c r="D122" s="188"/>
      <c r="E122" s="188"/>
      <c r="F122" s="188"/>
      <c r="G122" s="189"/>
      <c r="H122" s="10"/>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row>
    <row r="123" spans="1:38" ht="17.25" hidden="1" customHeight="1" x14ac:dyDescent="0.25">
      <c r="A123" s="190"/>
      <c r="B123" s="188"/>
      <c r="C123" s="188"/>
      <c r="D123" s="188"/>
      <c r="E123" s="188"/>
      <c r="F123" s="188"/>
      <c r="G123" s="189"/>
      <c r="H123" s="10"/>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row>
    <row r="124" spans="1:38" ht="17.25" hidden="1" customHeight="1" x14ac:dyDescent="0.25">
      <c r="A124" s="190"/>
      <c r="B124" s="188"/>
      <c r="C124" s="188"/>
      <c r="D124" s="188"/>
      <c r="E124" s="188"/>
      <c r="F124" s="188"/>
      <c r="G124" s="189"/>
      <c r="H124" s="10"/>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row>
    <row r="125" spans="1:38" ht="17.25" hidden="1" customHeight="1" x14ac:dyDescent="0.25">
      <c r="A125" s="96"/>
      <c r="B125" s="95"/>
      <c r="C125" s="97"/>
      <c r="D125" s="95"/>
      <c r="E125" s="95"/>
      <c r="F125" s="95"/>
      <c r="G125" s="87"/>
      <c r="H125" s="10"/>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row>
    <row r="126" spans="1:38" ht="17.25" hidden="1" customHeight="1" x14ac:dyDescent="0.25">
      <c r="A126" s="96"/>
      <c r="B126" s="95"/>
      <c r="C126" s="95"/>
      <c r="D126" s="95"/>
      <c r="E126" s="95"/>
      <c r="F126" s="95"/>
      <c r="G126" s="87"/>
      <c r="H126" s="10"/>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row>
    <row r="127" spans="1:38" ht="17.25" hidden="1" customHeight="1" x14ac:dyDescent="0.25">
      <c r="A127" s="94" t="s">
        <v>100</v>
      </c>
      <c r="B127" s="95"/>
      <c r="C127" s="95"/>
      <c r="D127" s="95"/>
      <c r="E127" s="95"/>
      <c r="F127" s="95"/>
      <c r="G127" s="87"/>
      <c r="H127" s="10"/>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row>
    <row r="128" spans="1:38" ht="17.25" hidden="1" customHeight="1" x14ac:dyDescent="0.25">
      <c r="A128" s="94" t="s">
        <v>101</v>
      </c>
      <c r="B128" s="95"/>
      <c r="C128" s="95"/>
      <c r="D128" s="95"/>
      <c r="E128" s="95"/>
      <c r="F128" s="95"/>
      <c r="G128" s="87"/>
      <c r="H128" s="10"/>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row>
    <row r="129" spans="1:38" ht="17.25" hidden="1" customHeight="1" x14ac:dyDescent="0.25">
      <c r="A129" s="94"/>
      <c r="B129" s="95"/>
      <c r="C129" s="95"/>
      <c r="D129" s="95"/>
      <c r="E129" s="95"/>
      <c r="F129" s="95"/>
      <c r="G129" s="87"/>
      <c r="H129" s="10"/>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row>
    <row r="130" spans="1:38" ht="17.25" hidden="1" customHeight="1" x14ac:dyDescent="0.25">
      <c r="A130" s="96" t="s">
        <v>102</v>
      </c>
      <c r="B130" s="98">
        <f>MIN(BarselsfondenTilskud!L31,BarselsfondenTilskud!F74,BarselsfondenTilskud!E58:E61)</f>
        <v>0</v>
      </c>
      <c r="C130" s="95" t="s">
        <v>103</v>
      </c>
      <c r="D130" s="95" t="s">
        <v>104</v>
      </c>
      <c r="E130" s="95"/>
      <c r="F130" s="95"/>
      <c r="G130" s="87"/>
      <c r="H130" s="10"/>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row>
    <row r="131" spans="1:38" ht="17.25" hidden="1" customHeight="1" x14ac:dyDescent="0.25">
      <c r="A131" s="96" t="s">
        <v>105</v>
      </c>
      <c r="B131" s="98" t="str">
        <f>BarselsfondenTilskud!M31</f>
        <v>xx-xx-xxxx</v>
      </c>
      <c r="C131" s="95"/>
      <c r="D131" s="95" t="s">
        <v>104</v>
      </c>
      <c r="E131" s="95"/>
      <c r="F131" s="95"/>
      <c r="G131" s="87"/>
      <c r="H131" s="10"/>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row>
    <row r="132" spans="1:38" ht="17.25" hidden="1" customHeight="1" x14ac:dyDescent="0.25">
      <c r="A132" s="96"/>
      <c r="B132" s="98"/>
      <c r="C132" s="95"/>
      <c r="D132" s="95"/>
      <c r="E132" s="95"/>
      <c r="F132" s="95"/>
      <c r="G132" s="87"/>
      <c r="H132" s="10"/>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row>
    <row r="133" spans="1:38" ht="17.25" hidden="1" customHeight="1" x14ac:dyDescent="0.25">
      <c r="A133" s="94" t="s">
        <v>106</v>
      </c>
      <c r="B133" s="98"/>
      <c r="C133" s="95"/>
      <c r="D133" s="95"/>
      <c r="E133" s="95"/>
      <c r="F133" s="95"/>
      <c r="G133" s="87"/>
      <c r="H133" s="10"/>
      <c r="I133" s="11" t="s">
        <v>107</v>
      </c>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row>
    <row r="134" spans="1:38" ht="17.25" hidden="1" customHeight="1" x14ac:dyDescent="0.25">
      <c r="A134" s="96" t="s">
        <v>108</v>
      </c>
      <c r="B134" s="98" t="str">
        <f>FaktiskFoedsel</f>
        <v>xx-xx-xxxx</v>
      </c>
      <c r="C134" s="95"/>
      <c r="D134" s="95"/>
      <c r="E134" s="95"/>
      <c r="F134" s="95"/>
      <c r="G134" s="87"/>
      <c r="H134" s="10"/>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row>
    <row r="135" spans="1:38" ht="17.25" hidden="1" customHeight="1" x14ac:dyDescent="0.25">
      <c r="A135" s="96" t="s">
        <v>109</v>
      </c>
      <c r="B135" s="98" t="e">
        <f>BarselsfondenTilskud!E78</f>
        <v>#VALUE!</v>
      </c>
      <c r="C135" s="95"/>
      <c r="D135" s="95"/>
      <c r="E135" s="95" t="s">
        <v>110</v>
      </c>
      <c r="F135" s="95"/>
      <c r="G135" s="87"/>
      <c r="H135" s="10"/>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row>
    <row r="136" spans="1:38" ht="17.25" hidden="1" customHeight="1" x14ac:dyDescent="0.25">
      <c r="A136" s="96" t="s">
        <v>111</v>
      </c>
      <c r="B136" s="98" t="e">
        <f>G78</f>
        <v>#VALUE!</v>
      </c>
      <c r="C136" s="95"/>
      <c r="D136" s="95"/>
      <c r="E136" s="95" t="s">
        <v>112</v>
      </c>
      <c r="F136" s="95"/>
      <c r="G136" s="87"/>
      <c r="H136" s="10"/>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row>
    <row r="137" spans="1:38" ht="17.25" hidden="1" customHeight="1" x14ac:dyDescent="0.25">
      <c r="A137" s="96" t="s">
        <v>113</v>
      </c>
      <c r="B137" s="95"/>
      <c r="C137" s="95"/>
      <c r="D137" s="95"/>
      <c r="E137" s="95"/>
      <c r="F137" s="95"/>
      <c r="G137" s="87"/>
      <c r="H137" s="10"/>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row>
    <row r="138" spans="1:38" ht="17.25" hidden="1" customHeight="1" x14ac:dyDescent="0.25">
      <c r="A138" s="96" t="s">
        <v>114</v>
      </c>
      <c r="B138" s="62"/>
      <c r="C138" s="95"/>
      <c r="D138" s="95"/>
      <c r="E138" s="95"/>
      <c r="F138" s="95"/>
      <c r="G138" s="87"/>
      <c r="H138" s="10"/>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row>
    <row r="139" spans="1:38" ht="17.25" hidden="1" customHeight="1" x14ac:dyDescent="0.25">
      <c r="A139" s="96"/>
      <c r="B139" s="62"/>
      <c r="C139" s="95"/>
      <c r="D139" s="95"/>
      <c r="E139" s="95"/>
      <c r="F139" s="95"/>
      <c r="G139" s="87"/>
      <c r="H139" s="10"/>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row>
    <row r="140" spans="1:38" ht="17.25" hidden="1" customHeight="1" x14ac:dyDescent="0.25">
      <c r="A140" s="96"/>
      <c r="B140" s="98" t="e">
        <f>IF(B134&lt;B135,B134+1,B135)</f>
        <v>#VALUE!</v>
      </c>
      <c r="C140" s="95"/>
      <c r="D140" s="95"/>
      <c r="E140" s="95"/>
      <c r="F140" s="95"/>
      <c r="G140" s="87"/>
      <c r="H140" s="10"/>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row>
    <row r="141" spans="1:38" ht="17.25" hidden="1" customHeight="1" x14ac:dyDescent="0.25">
      <c r="A141" s="96"/>
      <c r="B141" s="98"/>
      <c r="C141" s="95"/>
      <c r="D141" s="95"/>
      <c r="E141" s="95"/>
      <c r="F141" s="95"/>
      <c r="G141" s="87"/>
      <c r="H141" s="10"/>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row>
    <row r="142" spans="1:38" ht="17.25" hidden="1" customHeight="1" x14ac:dyDescent="0.25">
      <c r="A142" s="94" t="s">
        <v>115</v>
      </c>
      <c r="B142" s="98"/>
      <c r="C142" s="95"/>
      <c r="D142" s="95"/>
      <c r="E142" s="95"/>
      <c r="F142" s="95"/>
      <c r="G142" s="87"/>
      <c r="H142" s="10"/>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row>
    <row r="143" spans="1:38" ht="17.25" hidden="1" customHeight="1" x14ac:dyDescent="0.25">
      <c r="A143" s="94"/>
      <c r="B143" s="95" t="s">
        <v>116</v>
      </c>
      <c r="C143" s="95" t="s">
        <v>80</v>
      </c>
      <c r="D143" s="95"/>
      <c r="E143" s="95"/>
      <c r="F143" s="95"/>
      <c r="G143" s="87"/>
      <c r="H143" s="10"/>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row>
    <row r="144" spans="1:38" ht="17.25" hidden="1" customHeight="1" x14ac:dyDescent="0.25">
      <c r="A144" s="96" t="s">
        <v>81</v>
      </c>
      <c r="B144" s="95" t="e">
        <f>MONTH(B146)</f>
        <v>#VALUE!</v>
      </c>
      <c r="C144" s="95" t="e">
        <f>MONTH(BarselsfondenTilskud!$M$31)</f>
        <v>#VALUE!</v>
      </c>
      <c r="D144" s="95"/>
      <c r="E144" s="95"/>
      <c r="F144" s="95"/>
      <c r="G144" s="87"/>
      <c r="H144" s="10"/>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row>
    <row r="145" spans="1:39" ht="17.25" hidden="1" customHeight="1" thickBot="1" x14ac:dyDescent="0.3">
      <c r="A145" s="96" t="s">
        <v>84</v>
      </c>
      <c r="B145" s="98" t="e">
        <f>EOMONTH(B146,0)</f>
        <v>#VALUE!</v>
      </c>
      <c r="C145" s="329" t="e">
        <f>EOMONTH(BarselsfondenTilskud!$M$31,0)</f>
        <v>#VALUE!</v>
      </c>
      <c r="D145" s="329"/>
      <c r="E145" s="95"/>
      <c r="F145" s="95"/>
      <c r="G145" s="87"/>
      <c r="H145" s="10"/>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row>
    <row r="146" spans="1:39" ht="17.25" hidden="1" customHeight="1" thickBot="1" x14ac:dyDescent="0.3">
      <c r="A146" s="204" t="s">
        <v>117</v>
      </c>
      <c r="B146" s="205" t="str">
        <f>BarselsfondenTilskud!L31</f>
        <v>xx-xx-xxxx</v>
      </c>
      <c r="C146" s="370" t="str">
        <f>BarselsfondenTilskud!$M$31</f>
        <v>xx-xx-xxxx</v>
      </c>
      <c r="D146" s="371"/>
      <c r="E146" s="95"/>
      <c r="F146" s="95"/>
      <c r="G146" s="87"/>
      <c r="H146" s="10"/>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row>
    <row r="147" spans="1:39" ht="17.25" hidden="1" customHeight="1" x14ac:dyDescent="0.25">
      <c r="A147" s="96" t="s">
        <v>88</v>
      </c>
      <c r="B147" s="98" t="e">
        <f>DATE(YEAR(BarselsfondenTilskud!$L$31),B144, 1)</f>
        <v>#VALUE!</v>
      </c>
      <c r="C147" s="329" t="e">
        <f>DATE(YEAR(BarselsfondenTilskud!$M$31),C144, 1)</f>
        <v>#VALUE!</v>
      </c>
      <c r="D147" s="329"/>
      <c r="E147" s="95"/>
      <c r="F147" s="95"/>
      <c r="G147" s="87"/>
      <c r="H147" s="10"/>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row>
    <row r="148" spans="1:39" ht="17.25" hidden="1" customHeight="1" x14ac:dyDescent="0.25">
      <c r="A148" s="203" t="s">
        <v>89</v>
      </c>
      <c r="B148" s="98"/>
      <c r="C148" s="202"/>
      <c r="D148" s="202"/>
      <c r="E148" s="95"/>
      <c r="F148" s="95"/>
      <c r="G148" s="87"/>
      <c r="H148" s="10"/>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row>
    <row r="149" spans="1:39" ht="17.25" hidden="1" customHeight="1" x14ac:dyDescent="0.25">
      <c r="A149" s="96" t="s">
        <v>90</v>
      </c>
      <c r="B149" s="98"/>
      <c r="C149" s="202"/>
      <c r="D149" s="202" t="e">
        <f>IF(B144=C144,TRUE,FALSE)</f>
        <v>#VALUE!</v>
      </c>
      <c r="E149" s="95"/>
      <c r="F149" s="95"/>
      <c r="G149" s="87"/>
      <c r="H149" s="10"/>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row>
    <row r="150" spans="1:39" ht="17.25" hidden="1" customHeight="1" x14ac:dyDescent="0.25">
      <c r="A150" s="96" t="s">
        <v>91</v>
      </c>
      <c r="B150" s="98"/>
      <c r="C150" s="202"/>
      <c r="D150" s="202" t="e">
        <f>IF(NETWORKDAYS(B146,C146)=NETWORKDAYS(B147,B145),FALSE,TRUE)</f>
        <v>#VALUE!</v>
      </c>
      <c r="E150" s="95"/>
      <c r="F150" s="95"/>
      <c r="G150" s="87"/>
      <c r="H150" s="10"/>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row>
    <row r="151" spans="1:39" ht="17.25" hidden="1" customHeight="1" x14ac:dyDescent="0.25">
      <c r="A151" s="96"/>
      <c r="B151" s="98"/>
      <c r="C151" s="202"/>
      <c r="D151" s="202"/>
      <c r="E151" s="95"/>
      <c r="F151" s="95"/>
      <c r="G151" s="87"/>
      <c r="H151" s="10"/>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row>
    <row r="152" spans="1:39" ht="17.25" hidden="1" customHeight="1" x14ac:dyDescent="0.25">
      <c r="A152" s="96" t="s">
        <v>93</v>
      </c>
      <c r="B152" s="206" t="e">
        <f>IF(AND(D149=TRUE,D150=TRUE),TRUE,
IF(NETWORKDAYS(B145,B147)&lt;&gt;NETWORKDAYS(B145,B146),TRUE,FALSE))</f>
        <v>#VALUE!</v>
      </c>
      <c r="C152" s="372" t="e">
        <f>IF(NETWORKDAYS(C145,C147)&lt;&gt;NETWORKDAYS(C146,C147),TRUE,FALSE)</f>
        <v>#VALUE!</v>
      </c>
      <c r="D152" s="372"/>
      <c r="E152" s="95"/>
      <c r="F152" s="95"/>
      <c r="G152" s="87"/>
      <c r="H152" s="10"/>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row>
    <row r="153" spans="1:39" ht="17.25" hidden="1" customHeight="1" x14ac:dyDescent="0.25">
      <c r="A153" s="96" t="s">
        <v>118</v>
      </c>
      <c r="B153" s="95" t="e">
        <f xml:space="preserve"> IF(B144&lt;&gt;C144,
NETWORKDAYS(B146,B145),
NETWORKDAYS(B146,C146))</f>
        <v>#VALUE!</v>
      </c>
      <c r="C153" s="95" t="e">
        <f xml:space="preserve">
IF(B144&lt;&gt;C144,
NETWORKDAYS(C147,C146),
0)</f>
        <v>#VALUE!</v>
      </c>
      <c r="D153" s="95"/>
      <c r="E153" s="95"/>
      <c r="F153" s="95"/>
      <c r="G153" s="87"/>
      <c r="H153" s="10"/>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row>
    <row r="154" spans="1:39" ht="17.25" customHeight="1" x14ac:dyDescent="0.25">
      <c r="A154" s="99" t="s">
        <v>119</v>
      </c>
      <c r="B154" s="10"/>
      <c r="C154" s="10"/>
      <c r="D154" s="10"/>
      <c r="E154" s="10"/>
      <c r="F154" s="10"/>
      <c r="G154" s="24"/>
      <c r="H154" s="10"/>
      <c r="I154" s="11"/>
      <c r="J154" s="11"/>
      <c r="K154" s="11"/>
      <c r="L154" s="11"/>
      <c r="M154" s="11"/>
      <c r="N154" s="11"/>
      <c r="O154" s="11"/>
      <c r="S154" s="11"/>
      <c r="T154" s="11"/>
      <c r="U154" s="11"/>
      <c r="V154" s="11"/>
      <c r="W154" s="11"/>
      <c r="X154" s="11"/>
      <c r="Y154" s="11"/>
      <c r="Z154" s="11"/>
      <c r="AA154" s="11"/>
      <c r="AB154" s="11"/>
      <c r="AC154" s="11"/>
      <c r="AD154" s="11"/>
      <c r="AE154" s="11"/>
      <c r="AF154" s="11"/>
      <c r="AG154" s="11"/>
      <c r="AH154" s="11"/>
      <c r="AI154" s="11"/>
      <c r="AJ154" s="11"/>
      <c r="AK154" s="11"/>
      <c r="AL154" s="11"/>
    </row>
    <row r="155" spans="1:39" ht="17.25" customHeight="1" x14ac:dyDescent="0.25">
      <c r="A155" s="23"/>
      <c r="B155" s="10"/>
      <c r="C155" s="10"/>
      <c r="D155" s="10"/>
      <c r="E155" s="10"/>
      <c r="F155" s="10"/>
      <c r="G155" s="24"/>
      <c r="H155" s="10"/>
      <c r="I155" s="11"/>
      <c r="J155" s="11"/>
      <c r="K155" s="11"/>
      <c r="L155" s="11"/>
      <c r="M155" s="11"/>
      <c r="N155" s="11"/>
      <c r="O155" s="11"/>
      <c r="P155" s="11" t="s">
        <v>120</v>
      </c>
      <c r="Q155" s="11"/>
      <c r="R155" s="11"/>
      <c r="S155" s="11"/>
      <c r="T155" s="11"/>
      <c r="U155" s="11"/>
      <c r="V155" s="11"/>
      <c r="W155" s="11"/>
      <c r="X155" s="11"/>
      <c r="Y155" s="11"/>
      <c r="Z155" s="11"/>
      <c r="AA155" s="11"/>
      <c r="AB155" s="11"/>
      <c r="AC155" s="11"/>
      <c r="AD155" s="11"/>
      <c r="AE155" s="11"/>
      <c r="AF155" s="11"/>
      <c r="AG155" s="11"/>
      <c r="AH155" s="11"/>
      <c r="AI155" s="11"/>
      <c r="AJ155" s="11"/>
      <c r="AK155" s="11"/>
      <c r="AL155" s="11"/>
    </row>
    <row r="156" spans="1:39" ht="17.25" customHeight="1" thickBot="1" x14ac:dyDescent="0.35">
      <c r="A156" s="350" t="s">
        <v>121</v>
      </c>
      <c r="B156" s="351"/>
      <c r="C156" s="351"/>
      <c r="D156" s="351"/>
      <c r="E156" s="351"/>
      <c r="F156" s="351"/>
      <c r="G156" s="100"/>
      <c r="H156" s="10"/>
      <c r="I156" s="11"/>
      <c r="J156" s="11"/>
      <c r="K156" s="11"/>
      <c r="L156" s="11"/>
      <c r="M156" s="11"/>
      <c r="N156" s="11"/>
      <c r="O156" s="11"/>
      <c r="P156" s="427" t="s">
        <v>122</v>
      </c>
      <c r="Q156" s="427"/>
      <c r="R156" s="427"/>
      <c r="S156" s="11"/>
      <c r="T156" s="11"/>
      <c r="U156" s="11"/>
      <c r="V156" s="11"/>
      <c r="W156" s="11"/>
      <c r="X156" s="11"/>
      <c r="Y156" s="11"/>
      <c r="Z156" s="11"/>
      <c r="AA156" s="11"/>
      <c r="AB156" s="11"/>
      <c r="AC156" s="11"/>
      <c r="AD156" s="11"/>
      <c r="AE156" s="11"/>
      <c r="AF156" s="11"/>
      <c r="AG156" s="11"/>
      <c r="AH156" s="11"/>
      <c r="AI156" s="11"/>
      <c r="AJ156" s="11"/>
      <c r="AK156" s="11"/>
      <c r="AL156" s="11"/>
    </row>
    <row r="157" spans="1:39" ht="17.25" customHeight="1" thickBot="1" x14ac:dyDescent="0.35">
      <c r="A157" s="23"/>
      <c r="B157" s="373" t="s">
        <v>123</v>
      </c>
      <c r="C157" s="356"/>
      <c r="D157" s="356"/>
      <c r="E157" s="356" t="s">
        <v>124</v>
      </c>
      <c r="F157" s="356"/>
      <c r="G157" s="24"/>
      <c r="J157" s="101" t="s">
        <v>125</v>
      </c>
      <c r="L157" s="102" t="s">
        <v>126</v>
      </c>
      <c r="M157" s="102"/>
      <c r="N157" s="102"/>
      <c r="O157" s="102"/>
      <c r="P157" s="424" t="s">
        <v>127</v>
      </c>
      <c r="Q157" s="425"/>
      <c r="R157" s="426"/>
      <c r="S157" s="103"/>
      <c r="T157" s="104" t="s">
        <v>128</v>
      </c>
      <c r="U157" s="104"/>
      <c r="V157" s="104"/>
      <c r="W157" s="105"/>
      <c r="X157" s="106"/>
      <c r="Y157" s="107"/>
      <c r="Z157" s="107"/>
      <c r="AA157" s="108"/>
      <c r="AB157" s="103" t="s">
        <v>129</v>
      </c>
      <c r="AC157" s="103"/>
      <c r="AD157" s="103"/>
      <c r="AE157" s="103"/>
      <c r="AF157" s="103"/>
      <c r="AG157" s="103"/>
      <c r="AH157" s="103"/>
      <c r="AI157" s="103"/>
      <c r="AJ157" s="103"/>
      <c r="AK157" s="109" t="s">
        <v>130</v>
      </c>
      <c r="AL157" s="8" t="s">
        <v>131</v>
      </c>
    </row>
    <row r="158" spans="1:39" ht="17.25" customHeight="1" thickBot="1" x14ac:dyDescent="0.3">
      <c r="A158" s="23" t="e">
        <f>IF(S159="","",TEXT(DATE(YEAR(BarselsfondenTilskud!$L$31), S159, 1), "mmmm"))</f>
        <v>#VALUE!</v>
      </c>
      <c r="B158" s="358"/>
      <c r="C158" s="359"/>
      <c r="D158" s="359"/>
      <c r="E158" s="357" t="str">
        <f>IF(B158="","",BarselsfondenTilskud!$L$2*BarselsfondenTilskud!B158)</f>
        <v/>
      </c>
      <c r="F158" s="357"/>
      <c r="G158" s="24"/>
      <c r="J158" s="279" t="s">
        <v>132</v>
      </c>
      <c r="K158" s="192" t="s">
        <v>203</v>
      </c>
      <c r="L158" s="110" t="s">
        <v>133</v>
      </c>
      <c r="M158" s="110" t="s">
        <v>134</v>
      </c>
      <c r="N158" s="110" t="s">
        <v>135</v>
      </c>
      <c r="O158" s="110" t="s">
        <v>136</v>
      </c>
      <c r="P158" s="199" t="s">
        <v>137</v>
      </c>
      <c r="Q158" s="201" t="s">
        <v>138</v>
      </c>
      <c r="R158" s="200" t="s">
        <v>139</v>
      </c>
      <c r="S158" s="111" t="s">
        <v>140</v>
      </c>
      <c r="T158" s="112" t="s">
        <v>141</v>
      </c>
      <c r="U158" s="112" t="s">
        <v>142</v>
      </c>
      <c r="V158" s="112" t="s">
        <v>143</v>
      </c>
      <c r="W158" s="113" t="s">
        <v>144</v>
      </c>
      <c r="X158" s="114" t="s">
        <v>145</v>
      </c>
      <c r="Y158" s="111" t="s">
        <v>146</v>
      </c>
      <c r="Z158" s="111" t="s">
        <v>147</v>
      </c>
      <c r="AA158" s="115" t="s">
        <v>148</v>
      </c>
      <c r="AB158" s="111" t="s">
        <v>149</v>
      </c>
      <c r="AC158" s="116" t="s">
        <v>150</v>
      </c>
      <c r="AD158" s="116" t="s">
        <v>151</v>
      </c>
      <c r="AE158" s="111" t="s">
        <v>152</v>
      </c>
      <c r="AF158" s="111" t="s">
        <v>153</v>
      </c>
      <c r="AG158" s="111" t="s">
        <v>154</v>
      </c>
      <c r="AH158" s="111" t="s">
        <v>155</v>
      </c>
      <c r="AI158" s="111" t="s">
        <v>156</v>
      </c>
      <c r="AJ158" s="111" t="s">
        <v>157</v>
      </c>
      <c r="AK158" s="117" t="s">
        <v>158</v>
      </c>
      <c r="AL158" s="183" t="s">
        <v>159</v>
      </c>
      <c r="AM158" s="8" t="s">
        <v>202</v>
      </c>
    </row>
    <row r="159" spans="1:39" ht="17.25" customHeight="1" x14ac:dyDescent="0.25">
      <c r="A159" s="23" t="e">
        <f>IF(S160="","",TEXT(DATE(YEAR(BarselsfondenTilskud!$L$31), S160, 1), "mmmm"))</f>
        <v>#VALUE!</v>
      </c>
      <c r="B159" s="369"/>
      <c r="C159" s="315"/>
      <c r="D159" s="315"/>
      <c r="E159" s="357" t="str">
        <f>IF(B159="","",BarselsfondenTilskud!$L$2*BarselsfondenTilskud!B159)</f>
        <v/>
      </c>
      <c r="F159" s="357"/>
      <c r="G159" s="24"/>
      <c r="J159" s="280">
        <f t="shared" ref="J159:J170" si="7">IF(C180&lt;&gt;"",MIN(C180/37,1),IF(S159&lt;&gt;"",$M$40,""))</f>
        <v>1</v>
      </c>
      <c r="K159" s="284" cm="1">
        <f t="array" ref="K159">_xlfn.SWITCH((TRUE),
Table2[[#This Row],[Fulde GG dage (tæller ikke nedsat GG med) ]]= 0,0,
Table2[[#This Row],[Fulde GG dage (tæller ikke nedsat GG med) ]]= "","",
Table2[[#This Row],[Fulde GG dage (tæller ikke nedsat GG med) ]] * Table2[[#This Row],[dagsnorm]]* Dagpengetimesats)</f>
        <v>0</v>
      </c>
      <c r="L159" s="118" t="str">
        <f>IF(OR(X159="",X159=0),"",
IF(X159=AJ159,$L$3*J159,AE159*$L$2*X159))</f>
        <v/>
      </c>
      <c r="M159" s="118" t="e">
        <f t="shared" ref="M159:M170" si="8">IF(AND(AB159,AC159,AD159="Start"),$B$110*AE159*$L$2,
      IF(AND(AB159,AC159,AD159="Slut"),$D$110*AE159*$L$2,""))</f>
        <v>#VALUE!</v>
      </c>
      <c r="N159" s="119" t="e">
        <f>IF(AC159="","",
      IF(AND(AB159,NOT(AC159)),$L$3*J159,""))</f>
        <v>#VALUE!</v>
      </c>
      <c r="O159" s="186" t="e">
        <f>IF(S159="","",
       IF(Z159=TRUE,$L$3,
            SUM(L159:N159)))</f>
        <v>#VALUE!</v>
      </c>
      <c r="P159" s="184" t="e" cm="1">
        <f t="array" ref="P159">_xlfn.SWITCH(TRUE(),
    Table2[[#This Row],[Måned (Jan=1,Dec=12)]]="", "",
    Table2[[#This Row],[Er medarbejder berigtigt til barselsdagpenge i denne periode ]]=FALSE, 0,
    Table2[[#This Row],[Start/Slut]]="Start", AntalHverdageStart,
    Table2[[#This Row],[Start/Slut]]="mellemperiode", Table2[[#This Row],[Hverdage i den pågældene måned]],
    Table2[[#This Row],[Start/Slut]]="Slut", AntalHverdageSlut,
    99
)</f>
        <v>#VALUE!</v>
      </c>
      <c r="Q159" s="192" t="e">
        <f t="shared" ref="Q159:Q170" si="9">IF(AE159="","",P159*AE159)</f>
        <v>#VALUE!</v>
      </c>
      <c r="R159" s="184" t="e">
        <f>IF(Q159="","",Q159*$L$2)</f>
        <v>#VALUE!</v>
      </c>
      <c r="S159" s="57">
        <f>IF(BarselsfondenTilskud!L31="","",MONTH(BarselsfondenTilskud!B130))</f>
        <v>1</v>
      </c>
      <c r="T159" s="120" t="e">
        <f>IF(OR(S159="",U159=FALSE),"",
      IF(V159,W159*AF159*AE159,""))</f>
        <v>#VALUE!</v>
      </c>
      <c r="U159" s="121" t="e">
        <f>IF(S159=BarselsfondenTilskud!$B$144,BarselsfondenTilskud!$B$152,
      IF(S159=BarselsfondenTilskud!$C$144,BarselsfondenTilskud!$C$152,
          IF(S159="","",FALSE)))</f>
        <v>#VALUE!</v>
      </c>
      <c r="V159" s="121" t="e">
        <f>IF(S159="","",
       AND(S159&gt;=BarselsfondenTilskud!$B$144,S159&lt;=BarselsfondenTilskud!$C$144))</f>
        <v>#VALUE!</v>
      </c>
      <c r="W159" s="122" t="e">
        <f>IF(AND(U159,S159=BarselsfondenTilskud!$B$144),BarselsfondenTilskud!$B$153,
IF(AND(U159,S159=BarselsfondenTilskud!$C$144),BarselsfondenTilskud!$C$153,0))</f>
        <v>#VALUE!</v>
      </c>
      <c r="X159" s="123">
        <f>IF(S159="","",VLOOKUP(S159,$E$80:$F$91,2,FALSE))</f>
        <v>0</v>
      </c>
      <c r="Y159" s="124" t="e">
        <f t="shared" ref="Y159:Y170" si="10">IF(S159="","",B158*AF159)</f>
        <v>#VALUE!</v>
      </c>
      <c r="Z159" s="124" t="e">
        <f t="shared" ref="Z159:Z170" si="11">IF(S159="","",
       IF(AND(X159+W159 = AJ159,AD159="Start"), TRUE, FALSE))</f>
        <v>#VALUE!</v>
      </c>
      <c r="AA159" s="125" t="e">
        <f t="shared" ref="AA159:AA170" si="12">IF(S159="","",
      (X159*AF159*AE159))</f>
        <v>#VALUE!</v>
      </c>
      <c r="AB159" s="123" t="e">
        <f>IF(S159="","",AND(S159&gt;=BarselsfondenTilskud!$B$99,S159&lt;=BarselsfondenTilskud!$D$99))</f>
        <v>#VALUE!</v>
      </c>
      <c r="AC159" s="123" t="e">
        <f>IF(S159="","",IF(AB159,IF(S159=BarselsfondenTilskud!$B$99,BarselsfondenTilskud!$B$109,IF(S159=BarselsfondenTilskud!$D$99,BarselsfondenTilskud!$D$109,FALSE)),FALSE))</f>
        <v>#VALUE!</v>
      </c>
      <c r="AD159" s="123" t="e">
        <f>IF(S159="","",
     IF(S159=BarselsfondenTilskud!$B$99,"Start",
           IF(S159&lt;BarselsfondenTilskud!$D$99,"mellemperiode",
                IF(S159=BarselsfondenTilskud!$D$99,"Slut","Noget gik galt")
)))</f>
        <v>#VALUE!</v>
      </c>
      <c r="AE159" s="178" t="e">
        <f t="shared" ref="AE159:AE170" si="13">IF(S159="","",IF(AC159="","",(J159*37)/5))</f>
        <v>#VALUE!</v>
      </c>
      <c r="AF159" s="174" t="e">
        <f t="shared" ref="AF159:AF170" si="14">IF(S159="","",G180/(AE159*AJ159))</f>
        <v>#VALUE!</v>
      </c>
      <c r="AG159" s="124">
        <f t="shared" ref="AG159:AG170" si="15">IF(S159="","",(G180*12)/1924)</f>
        <v>0</v>
      </c>
      <c r="AH159" s="126" t="e">
        <f>IF(S159="","",DATE(YEAR(BarselsfondenTilskud!$L$31),S159,1))</f>
        <v>#VALUE!</v>
      </c>
      <c r="AI159" s="126" t="e">
        <f t="shared" ref="AI159:AI170" si="16">IF(S159="","",EOMONTH(AH159,0))</f>
        <v>#VALUE!</v>
      </c>
      <c r="AJ159" s="123" t="e">
        <f t="shared" ref="AJ159:AJ170" si="17">IF(S159="","",NETWORKDAYS(AH159,AI159))</f>
        <v>#VALUE!</v>
      </c>
      <c r="AK159" s="123" t="e">
        <f t="shared" ref="AK159:AK170" si="18">IF(E180&gt;G180,TRUE,FALSE)</f>
        <v>#VALUE!</v>
      </c>
      <c r="AL159" s="11"/>
    </row>
    <row r="160" spans="1:39" ht="17.25" customHeight="1" x14ac:dyDescent="0.25">
      <c r="A160" s="23" t="e">
        <f>IF(S161="","",TEXT(DATE(YEAR(BarselsfondenTilskud!$L$31), S161, 1), "mmmm"))</f>
        <v>#VALUE!</v>
      </c>
      <c r="B160" s="369"/>
      <c r="C160" s="315"/>
      <c r="D160" s="315"/>
      <c r="E160" s="357" t="str">
        <f>IF(B160="","",BarselsfondenTilskud!$L$2*BarselsfondenTilskud!B160)</f>
        <v/>
      </c>
      <c r="F160" s="357"/>
      <c r="G160" s="24"/>
      <c r="J160" s="280" t="e">
        <f t="shared" si="7"/>
        <v>#VALUE!</v>
      </c>
      <c r="K160" s="284" t="e" cm="1">
        <f t="array" ref="K160">_xlfn.SWITCH((TRUE),
Table2[[#This Row],[Fulde GG dage (tæller ikke nedsat GG med) ]]= 0,0,
Table2[[#This Row],[Fulde GG dage (tæller ikke nedsat GG med) ]]= "","",
Table2[[#This Row],[Fulde GG dage (tæller ikke nedsat GG med) ]] * Table2[[#This Row],[dagsnorm]]* Dagpengetimesats)</f>
        <v>#VALUE!</v>
      </c>
      <c r="L160" s="118" t="e">
        <f t="shared" ref="L160:L170" si="19">IF(OR(X160="",X160=0),"",
IF(X160=AJ160,$L$3*J160,AE160*$L$2*X160))</f>
        <v>#VALUE!</v>
      </c>
      <c r="M160" s="118" t="e">
        <f t="shared" si="8"/>
        <v>#VALUE!</v>
      </c>
      <c r="N160" s="119" t="e">
        <f>IF(AC160="","",
      IF(AND(AB160,NOT(AC160)),BarselsfondenTilskud!$L$3*J160,""))</f>
        <v>#VALUE!</v>
      </c>
      <c r="O160" s="186" t="e">
        <f>IF(S160="","",
       IF(Z160=TRUE,BarselsfondenTilskud!$L$3,
            SUM(L160:N160)))</f>
        <v>#VALUE!</v>
      </c>
      <c r="P160" s="184" t="e" cm="1">
        <f t="array" ref="P160">_xlfn.SWITCH(TRUE(),
    Table2[[#This Row],[Måned (Jan=1,Dec=12)]]="", "",
    Table2[[#This Row],[Er medarbejder berigtigt til barselsdagpenge i denne periode ]]=FALSE, 0,
    Table2[[#This Row],[Start/Slut]]="Start", AntalHverdageStart,
    Table2[[#This Row],[Start/Slut]]="mellemperiode", Table2[[#This Row],[Hverdage i den pågældene måned]],
    Table2[[#This Row],[Start/Slut]]="Slut", AntalHverdageSlut,
    99
)</f>
        <v>#VALUE!</v>
      </c>
      <c r="Q160" s="192" t="e">
        <f t="shared" si="9"/>
        <v>#VALUE!</v>
      </c>
      <c r="R160" s="184" t="e">
        <f>IF(Q160="","",Q160*$L$2)</f>
        <v>#VALUE!</v>
      </c>
      <c r="S160" s="57" t="e">
        <f>IF(S159="","",IF(S159+1&gt;MONTH(BarselsfondenTilskud!$B$131),"",S159+1))</f>
        <v>#VALUE!</v>
      </c>
      <c r="T160" s="120" t="e">
        <f t="shared" ref="T160:T170" si="20">IF(OR(S160="",U160=FALSE),"",
      IF(V160,W160*AF160*AE160,""))</f>
        <v>#VALUE!</v>
      </c>
      <c r="U160" s="121" t="e">
        <f>IF(S160=BarselsfondenTilskud!$B$144,BarselsfondenTilskud!$B$152,
      IF(S160=BarselsfondenTilskud!$C$144,BarselsfondenTilskud!$C$152,
          IF(S160="","",FALSE)))</f>
        <v>#VALUE!</v>
      </c>
      <c r="V160" s="121" t="e">
        <f>IF(S160="","",
       AND(S160&gt;=BarselsfondenTilskud!$B$144,S160&lt;=BarselsfondenTilskud!$C$144))</f>
        <v>#VALUE!</v>
      </c>
      <c r="W160" s="122" t="e">
        <f>IF(AND(U160,S160=BarselsfondenTilskud!$B$144),BarselsfondenTilskud!$B$153,
IF(AND(U160,S160=BarselsfondenTilskud!$C$144),BarselsfondenTilskud!$C$153,0))</f>
        <v>#VALUE!</v>
      </c>
      <c r="X160" s="123" t="e">
        <f t="shared" ref="X160:X170" si="21">IF(S160="","",VLOOKUP(S160,$E$80:$F$91,2,FALSE))</f>
        <v>#VALUE!</v>
      </c>
      <c r="Y160" s="124" t="e">
        <f t="shared" si="10"/>
        <v>#VALUE!</v>
      </c>
      <c r="Z160" s="124" t="e">
        <f t="shared" si="11"/>
        <v>#VALUE!</v>
      </c>
      <c r="AA160" s="125" t="e">
        <f t="shared" si="12"/>
        <v>#VALUE!</v>
      </c>
      <c r="AB160" s="123" t="e">
        <f>IF(S160="","",AND(S160&gt;=BarselsfondenTilskud!$B$99,S160&lt;=BarselsfondenTilskud!$D$99))</f>
        <v>#VALUE!</v>
      </c>
      <c r="AC160" s="123" t="e">
        <f>IF(S160="","",IF(AB160,IF(S160=BarselsfondenTilskud!$B$99,BarselsfondenTilskud!$B$109,IF(S160=BarselsfondenTilskud!$D$99,BarselsfondenTilskud!$D$109,FALSE)),FALSE))</f>
        <v>#VALUE!</v>
      </c>
      <c r="AD160" s="123" t="e">
        <f>IF(S160="","",
     IF(S160=BarselsfondenTilskud!$B$99,"Start",
           IF(S160&lt;BarselsfondenTilskud!$D$99,"mellemperiode",
                IF(S160=BarselsfondenTilskud!$D$99,"Slut","Noget gik galt")
)))</f>
        <v>#VALUE!</v>
      </c>
      <c r="AE160" s="178" t="e">
        <f t="shared" si="13"/>
        <v>#VALUE!</v>
      </c>
      <c r="AF160" s="173" t="e">
        <f t="shared" si="14"/>
        <v>#VALUE!</v>
      </c>
      <c r="AG160" s="124" t="e">
        <f t="shared" si="15"/>
        <v>#VALUE!</v>
      </c>
      <c r="AH160" s="126" t="e">
        <f>IF(S160="","",DATE(YEAR(BarselsfondenTilskud!$L$31),S160,1))</f>
        <v>#VALUE!</v>
      </c>
      <c r="AI160" s="126" t="e">
        <f t="shared" si="16"/>
        <v>#VALUE!</v>
      </c>
      <c r="AJ160" s="123" t="e">
        <f t="shared" si="17"/>
        <v>#VALUE!</v>
      </c>
      <c r="AK160" s="123" t="e">
        <f t="shared" si="18"/>
        <v>#VALUE!</v>
      </c>
      <c r="AL160" s="11"/>
    </row>
    <row r="161" spans="1:38" ht="17.25" customHeight="1" x14ac:dyDescent="0.25">
      <c r="A161" s="23" t="e">
        <f>IF(S162="","",TEXT(DATE(YEAR(BarselsfondenTilskud!$L$31), S162, 1), "mmmm"))</f>
        <v>#VALUE!</v>
      </c>
      <c r="B161" s="369"/>
      <c r="C161" s="315"/>
      <c r="D161" s="315"/>
      <c r="E161" s="357" t="str">
        <f>IF(B161="","",BarselsfondenTilskud!$L$2*BarselsfondenTilskud!B161)</f>
        <v/>
      </c>
      <c r="F161" s="357"/>
      <c r="G161" s="24"/>
      <c r="J161" s="280" t="e">
        <f t="shared" si="7"/>
        <v>#VALUE!</v>
      </c>
      <c r="K161" s="284" t="e" cm="1">
        <f t="array" ref="K161">_xlfn.SWITCH((TRUE),
Table2[[#This Row],[Fulde GG dage (tæller ikke nedsat GG med) ]]= 0,0,
Table2[[#This Row],[Fulde GG dage (tæller ikke nedsat GG med) ]]= "","",
Table2[[#This Row],[Fulde GG dage (tæller ikke nedsat GG med) ]] * Table2[[#This Row],[dagsnorm]]* Dagpengetimesats)</f>
        <v>#VALUE!</v>
      </c>
      <c r="L161" s="118" t="e">
        <f t="shared" si="19"/>
        <v>#VALUE!</v>
      </c>
      <c r="M161" s="118" t="e">
        <f t="shared" si="8"/>
        <v>#VALUE!</v>
      </c>
      <c r="N161" s="119" t="e">
        <f>IF(AC161="","",
      IF(AND(AB161,NOT(AC161)),BarselsfondenTilskud!$L$3*J161,""))</f>
        <v>#VALUE!</v>
      </c>
      <c r="O161" s="186" t="e">
        <f>IF(S161="","",
       IF(Z161=TRUE,BarselsfondenTilskud!$L$3,
            SUM(L161:N161)))</f>
        <v>#VALUE!</v>
      </c>
      <c r="P161" s="184" t="e" cm="1">
        <f t="array" ref="P161">_xlfn.SWITCH(TRUE(),
    Table2[[#This Row],[Måned (Jan=1,Dec=12)]]="", "",
    Table2[[#This Row],[Er medarbejder berigtigt til barselsdagpenge i denne periode ]]=FALSE, 0,
    Table2[[#This Row],[Start/Slut]]="Start", AntalHverdageStart,
    Table2[[#This Row],[Start/Slut]]="mellemperiode", Table2[[#This Row],[Hverdage i den pågældene måned]],
    Table2[[#This Row],[Start/Slut]]="Slut", AntalHverdageSlut,
    99
)</f>
        <v>#VALUE!</v>
      </c>
      <c r="Q161" s="192" t="e">
        <f t="shared" si="9"/>
        <v>#VALUE!</v>
      </c>
      <c r="R161" s="184" t="e">
        <f t="shared" ref="R161:R170" si="22">IF(Q161="","",Q161*$L$2)</f>
        <v>#VALUE!</v>
      </c>
      <c r="S161" s="57" t="e">
        <f>IF(S160="","",IF(S160+1&gt;MONTH(BarselsfondenTilskud!$B$131),"",S160+1))</f>
        <v>#VALUE!</v>
      </c>
      <c r="T161" s="120" t="e">
        <f t="shared" si="20"/>
        <v>#VALUE!</v>
      </c>
      <c r="U161" s="121" t="e">
        <f>IF(S161=BarselsfondenTilskud!$B$144,BarselsfondenTilskud!$B$152,
      IF(S161=BarselsfondenTilskud!$C$144,BarselsfondenTilskud!$C$152,
          IF(S161="","",FALSE)))</f>
        <v>#VALUE!</v>
      </c>
      <c r="V161" s="121" t="e">
        <f>IF(S161="","",
       AND(S161&gt;=BarselsfondenTilskud!$B$144,S161&lt;=BarselsfondenTilskud!$C$144))</f>
        <v>#VALUE!</v>
      </c>
      <c r="W161" s="122" t="e">
        <f>IF(AND(U161,S161=BarselsfondenTilskud!$B$144),BarselsfondenTilskud!$B$153,
IF(AND(U161,S161=BarselsfondenTilskud!$C$144),BarselsfondenTilskud!$C$153,0))</f>
        <v>#VALUE!</v>
      </c>
      <c r="X161" s="123" t="e">
        <f t="shared" si="21"/>
        <v>#VALUE!</v>
      </c>
      <c r="Y161" s="124" t="e">
        <f t="shared" si="10"/>
        <v>#VALUE!</v>
      </c>
      <c r="Z161" s="124" t="e">
        <f t="shared" si="11"/>
        <v>#VALUE!</v>
      </c>
      <c r="AA161" s="125" t="e">
        <f t="shared" si="12"/>
        <v>#VALUE!</v>
      </c>
      <c r="AB161" s="123" t="e">
        <f>IF(S161="","",AND(S161&gt;=BarselsfondenTilskud!$B$99,S161&lt;=BarselsfondenTilskud!$D$99))</f>
        <v>#VALUE!</v>
      </c>
      <c r="AC161" s="123" t="e">
        <f>IF(S161="","",IF(AB161,IF(S161=BarselsfondenTilskud!$B$99,BarselsfondenTilskud!$B$109,IF(S161=BarselsfondenTilskud!$D$99,BarselsfondenTilskud!$D$109,FALSE)),FALSE))</f>
        <v>#VALUE!</v>
      </c>
      <c r="AD161" s="123" t="e">
        <f>IF(S161="","",
     IF(S161=BarselsfondenTilskud!$B$99,"Start",
           IF(S161&lt;BarselsfondenTilskud!$D$99,"mellemperiode",
                IF(S161=BarselsfondenTilskud!$D$99,"Slut","Noget gik galt")
)))</f>
        <v>#VALUE!</v>
      </c>
      <c r="AE161" s="178" t="e">
        <f t="shared" si="13"/>
        <v>#VALUE!</v>
      </c>
      <c r="AF161" s="173" t="e">
        <f t="shared" si="14"/>
        <v>#VALUE!</v>
      </c>
      <c r="AG161" s="124" t="e">
        <f t="shared" si="15"/>
        <v>#VALUE!</v>
      </c>
      <c r="AH161" s="126" t="e">
        <f>IF(S161="","",DATE(YEAR(BarselsfondenTilskud!$L$31),S161,1))</f>
        <v>#VALUE!</v>
      </c>
      <c r="AI161" s="126" t="e">
        <f t="shared" si="16"/>
        <v>#VALUE!</v>
      </c>
      <c r="AJ161" s="123" t="e">
        <f t="shared" si="17"/>
        <v>#VALUE!</v>
      </c>
      <c r="AK161" s="123" t="e">
        <f t="shared" si="18"/>
        <v>#VALUE!</v>
      </c>
      <c r="AL161" s="11"/>
    </row>
    <row r="162" spans="1:38" ht="17.25" customHeight="1" x14ac:dyDescent="0.25">
      <c r="A162" s="23" t="e">
        <f>IF(S163="","",TEXT(DATE(YEAR(BarselsfondenTilskud!$L$31), S163, 1), "mmmm"))</f>
        <v>#VALUE!</v>
      </c>
      <c r="B162" s="358"/>
      <c r="C162" s="359"/>
      <c r="D162" s="359"/>
      <c r="E162" s="357" t="str">
        <f>IF(B162="","",BarselsfondenTilskud!$L$2*BarselsfondenTilskud!B162)</f>
        <v/>
      </c>
      <c r="F162" s="357"/>
      <c r="G162" s="24"/>
      <c r="J162" s="280" t="e">
        <f t="shared" si="7"/>
        <v>#VALUE!</v>
      </c>
      <c r="K162" s="284" t="e" cm="1">
        <f t="array" ref="K162">_xlfn.SWITCH((TRUE),
Table2[[#This Row],[Fulde GG dage (tæller ikke nedsat GG med) ]]= 0,0,
Table2[[#This Row],[Fulde GG dage (tæller ikke nedsat GG med) ]]= "","",
Table2[[#This Row],[Fulde GG dage (tæller ikke nedsat GG med) ]] * Table2[[#This Row],[dagsnorm]]* Dagpengetimesats)</f>
        <v>#VALUE!</v>
      </c>
      <c r="L162" s="118" t="e">
        <f t="shared" si="19"/>
        <v>#VALUE!</v>
      </c>
      <c r="M162" s="118" t="e">
        <f t="shared" si="8"/>
        <v>#VALUE!</v>
      </c>
      <c r="N162" s="119" t="e">
        <f>IF(AC162="","",
      IF(AND(AB162,NOT(AC162)),BarselsfondenTilskud!$L$3*J162,""))</f>
        <v>#VALUE!</v>
      </c>
      <c r="O162" s="186" t="e">
        <f>IF(S162="","",
       IF(Z162=TRUE,BarselsfondenTilskud!$L$3,
            SUM(L162:N162)))</f>
        <v>#VALUE!</v>
      </c>
      <c r="P162" s="184" t="e" cm="1">
        <f t="array" ref="P162">_xlfn.SWITCH(TRUE(),
    Table2[[#This Row],[Måned (Jan=1,Dec=12)]]="", "",
    Table2[[#This Row],[Er medarbejder berigtigt til barselsdagpenge i denne periode ]]=FALSE, 0,
    Table2[[#This Row],[Start/Slut]]="Start", AntalHverdageStart,
    Table2[[#This Row],[Start/Slut]]="mellemperiode", Table2[[#This Row],[Hverdage i den pågældene måned]],
    Table2[[#This Row],[Start/Slut]]="Slut", AntalHverdageSlut,
    99
)</f>
        <v>#VALUE!</v>
      </c>
      <c r="Q162" s="192" t="e">
        <f t="shared" si="9"/>
        <v>#VALUE!</v>
      </c>
      <c r="R162" s="184" t="e">
        <f t="shared" si="22"/>
        <v>#VALUE!</v>
      </c>
      <c r="S162" s="57" t="e">
        <f>IF(S161="","",IF(S161+1&gt;MONTH(BarselsfondenTilskud!$B$131),"",S161+1))</f>
        <v>#VALUE!</v>
      </c>
      <c r="T162" s="120" t="e">
        <f t="shared" si="20"/>
        <v>#VALUE!</v>
      </c>
      <c r="U162" s="121" t="e">
        <f>IF(S162=BarselsfondenTilskud!$B$144,BarselsfondenTilskud!$B$152,
      IF(S162=BarselsfondenTilskud!$C$144,BarselsfondenTilskud!$C$152,
          IF(S162="","",FALSE)))</f>
        <v>#VALUE!</v>
      </c>
      <c r="V162" s="121" t="e">
        <f>IF(S162="","",
       AND(S162&gt;=BarselsfondenTilskud!$B$144,S162&lt;=BarselsfondenTilskud!$C$144))</f>
        <v>#VALUE!</v>
      </c>
      <c r="W162" s="122" t="e">
        <f>IF(AND(U162,S162=BarselsfondenTilskud!$B$144),BarselsfondenTilskud!$B$153,
IF(AND(U162,S162=BarselsfondenTilskud!$C$144),BarselsfondenTilskud!$C$153,0))</f>
        <v>#VALUE!</v>
      </c>
      <c r="X162" s="123" t="e">
        <f t="shared" si="21"/>
        <v>#VALUE!</v>
      </c>
      <c r="Y162" s="124" t="e">
        <f t="shared" si="10"/>
        <v>#VALUE!</v>
      </c>
      <c r="Z162" s="124" t="e">
        <f t="shared" si="11"/>
        <v>#VALUE!</v>
      </c>
      <c r="AA162" s="125" t="e">
        <f t="shared" si="12"/>
        <v>#VALUE!</v>
      </c>
      <c r="AB162" s="123" t="e">
        <f>IF(S162="","",AND(S162&gt;=BarselsfondenTilskud!$B$99,S162&lt;=BarselsfondenTilskud!$D$99))</f>
        <v>#VALUE!</v>
      </c>
      <c r="AC162" s="123" t="e">
        <f>IF(S162="","",IF(AB162,IF(S162=BarselsfondenTilskud!$B$99,BarselsfondenTilskud!$B$109,IF(S162=BarselsfondenTilskud!$D$99,BarselsfondenTilskud!$D$109,FALSE)),FALSE))</f>
        <v>#VALUE!</v>
      </c>
      <c r="AD162" s="123" t="e">
        <f>IF(S162="","",
     IF(S162=BarselsfondenTilskud!$B$99,"Start",
           IF(S162&lt;BarselsfondenTilskud!$D$99,"mellemperiode",
                IF(S162=BarselsfondenTilskud!$D$99,"Slut","Noget gik galt")
)))</f>
        <v>#VALUE!</v>
      </c>
      <c r="AE162" s="178" t="e">
        <f t="shared" si="13"/>
        <v>#VALUE!</v>
      </c>
      <c r="AF162" s="173" t="e">
        <f t="shared" si="14"/>
        <v>#VALUE!</v>
      </c>
      <c r="AG162" s="124" t="e">
        <f t="shared" si="15"/>
        <v>#VALUE!</v>
      </c>
      <c r="AH162" s="126" t="e">
        <f>IF(S162="","",DATE(YEAR(BarselsfondenTilskud!$L$31),S162,1))</f>
        <v>#VALUE!</v>
      </c>
      <c r="AI162" s="126" t="e">
        <f t="shared" si="16"/>
        <v>#VALUE!</v>
      </c>
      <c r="AJ162" s="123" t="e">
        <f>IF(S162="","",NETWORKDAYS(AH162,AI162))</f>
        <v>#VALUE!</v>
      </c>
      <c r="AK162" s="123" t="e">
        <f t="shared" si="18"/>
        <v>#VALUE!</v>
      </c>
      <c r="AL162" s="11"/>
    </row>
    <row r="163" spans="1:38" ht="17.25" customHeight="1" x14ac:dyDescent="0.25">
      <c r="A163" s="23" t="e">
        <f>IF(S164="","",TEXT(DATE(YEAR(BarselsfondenTilskud!$L$31), S164, 1), "mmmm"))</f>
        <v>#VALUE!</v>
      </c>
      <c r="B163" s="369"/>
      <c r="C163" s="315"/>
      <c r="D163" s="315"/>
      <c r="E163" s="357" t="str">
        <f>IF(B163="","",BarselsfondenTilskud!$L$2*BarselsfondenTilskud!B163)</f>
        <v/>
      </c>
      <c r="F163" s="357"/>
      <c r="G163" s="24"/>
      <c r="J163" s="280" t="e">
        <f t="shared" si="7"/>
        <v>#VALUE!</v>
      </c>
      <c r="K163" s="284" t="e" cm="1">
        <f t="array" ref="K163">_xlfn.SWITCH((TRUE),
Table2[[#This Row],[Fulde GG dage (tæller ikke nedsat GG med) ]]= 0,0,
Table2[[#This Row],[Fulde GG dage (tæller ikke nedsat GG med) ]]= "","",
Table2[[#This Row],[Fulde GG dage (tæller ikke nedsat GG med) ]] * Table2[[#This Row],[dagsnorm]]* Dagpengetimesats)</f>
        <v>#VALUE!</v>
      </c>
      <c r="L163" s="118" t="e">
        <f t="shared" si="19"/>
        <v>#VALUE!</v>
      </c>
      <c r="M163" s="118" t="e">
        <f t="shared" si="8"/>
        <v>#VALUE!</v>
      </c>
      <c r="N163" s="119" t="e">
        <f>IF(AC163="","",
      IF(AND(AB163,NOT(AC163)),BarselsfondenTilskud!$L$3*J163,""))</f>
        <v>#VALUE!</v>
      </c>
      <c r="O163" s="186" t="e">
        <f>IF(S163="","",
       IF(Z163=TRUE,BarselsfondenTilskud!$L$3,
            SUM(L163:N163)))</f>
        <v>#VALUE!</v>
      </c>
      <c r="P163" s="184" t="e" cm="1">
        <f t="array" ref="P163">_xlfn.SWITCH(TRUE(),
    Table2[[#This Row],[Måned (Jan=1,Dec=12)]]="", "",
    Table2[[#This Row],[Er medarbejder berigtigt til barselsdagpenge i denne periode ]]=FALSE, 0,
    Table2[[#This Row],[Start/Slut]]="Start", AntalHverdageStart,
    Table2[[#This Row],[Start/Slut]]="mellemperiode", Table2[[#This Row],[Hverdage i den pågældene måned]],
    Table2[[#This Row],[Start/Slut]]="Slut", AntalHverdageSlut,
    ""
)</f>
        <v>#VALUE!</v>
      </c>
      <c r="Q163" s="192" t="e">
        <f t="shared" si="9"/>
        <v>#VALUE!</v>
      </c>
      <c r="R163" s="184" t="e">
        <f t="shared" si="22"/>
        <v>#VALUE!</v>
      </c>
      <c r="S163" s="57" t="e">
        <f>IF(S162="","",IF(S162+1&gt;MONTH(BarselsfondenTilskud!$B$131),"",S162+1))</f>
        <v>#VALUE!</v>
      </c>
      <c r="T163" s="120" t="e">
        <f t="shared" si="20"/>
        <v>#VALUE!</v>
      </c>
      <c r="U163" s="121" t="e">
        <f>IF(S163=BarselsfondenTilskud!$B$144,BarselsfondenTilskud!$B$152,
      IF(S163=BarselsfondenTilskud!$C$144,BarselsfondenTilskud!$C$152,
          IF(S163="","",FALSE)))</f>
        <v>#VALUE!</v>
      </c>
      <c r="V163" s="121" t="e">
        <f>IF(S163="","",
       AND(S163&gt;=BarselsfondenTilskud!$B$144,S163&lt;=BarselsfondenTilskud!$C$144))</f>
        <v>#VALUE!</v>
      </c>
      <c r="W163" s="122" t="e">
        <f>IF(AND(U163,S163=BarselsfondenTilskud!$B$144),BarselsfondenTilskud!$B$153,
IF(AND(U163,S163=BarselsfondenTilskud!$C$144),BarselsfondenTilskud!$C$153,0))</f>
        <v>#VALUE!</v>
      </c>
      <c r="X163" s="123" t="e">
        <f t="shared" si="21"/>
        <v>#VALUE!</v>
      </c>
      <c r="Y163" s="124" t="e">
        <f t="shared" si="10"/>
        <v>#VALUE!</v>
      </c>
      <c r="Z163" s="124" t="e">
        <f t="shared" si="11"/>
        <v>#VALUE!</v>
      </c>
      <c r="AA163" s="125" t="e">
        <f t="shared" si="12"/>
        <v>#VALUE!</v>
      </c>
      <c r="AB163" s="123" t="e">
        <f>IF(S163="","",AND(S163&gt;=BarselsfondenTilskud!$B$99,S163&lt;=BarselsfondenTilskud!$D$99))</f>
        <v>#VALUE!</v>
      </c>
      <c r="AC163" s="123" t="e">
        <f>IF(S163="","",IF(AB163,IF(S163=BarselsfondenTilskud!$B$99,BarselsfondenTilskud!$B$109,IF(S163=BarselsfondenTilskud!$D$99,BarselsfondenTilskud!$D$109,FALSE)),FALSE))</f>
        <v>#VALUE!</v>
      </c>
      <c r="AD163" s="123" t="e">
        <f>IF(S163="","",
     IF(S163=BarselsfondenTilskud!$B$99,"Start",
           IF(S163&lt;BarselsfondenTilskud!$D$99,"mellemperiode",
                IF(S163=BarselsfondenTilskud!$D$99,"Slut","Noget gik galt")
)))</f>
        <v>#VALUE!</v>
      </c>
      <c r="AE163" s="123" t="e">
        <f t="shared" si="13"/>
        <v>#VALUE!</v>
      </c>
      <c r="AF163" s="124" t="e">
        <f t="shared" si="14"/>
        <v>#VALUE!</v>
      </c>
      <c r="AG163" s="124" t="e">
        <f t="shared" si="15"/>
        <v>#VALUE!</v>
      </c>
      <c r="AH163" s="126" t="e">
        <f>IF(S163="","",DATE(YEAR(BarselsfondenTilskud!$L$31),S163,1))</f>
        <v>#VALUE!</v>
      </c>
      <c r="AI163" s="126" t="e">
        <f t="shared" si="16"/>
        <v>#VALUE!</v>
      </c>
      <c r="AJ163" s="123" t="e">
        <f>IF(S163="","",NETWORKDAYS(AH163,AI163))</f>
        <v>#VALUE!</v>
      </c>
      <c r="AK163" s="123" t="e">
        <f t="shared" si="18"/>
        <v>#VALUE!</v>
      </c>
      <c r="AL163" s="11"/>
    </row>
    <row r="164" spans="1:38" ht="17.25" customHeight="1" x14ac:dyDescent="0.25">
      <c r="A164" s="23" t="e">
        <f>IF(S165="","",TEXT(DATE(YEAR(BarselsfondenTilskud!$L$31), S165, 1), "mmmm"))</f>
        <v>#VALUE!</v>
      </c>
      <c r="B164" s="369"/>
      <c r="C164" s="315"/>
      <c r="D164" s="315"/>
      <c r="E164" s="357" t="str">
        <f>IF(B164="","",BarselsfondenTilskud!$L$2*BarselsfondenTilskud!B164)</f>
        <v/>
      </c>
      <c r="F164" s="357"/>
      <c r="G164" s="24"/>
      <c r="J164" s="280" t="e">
        <f t="shared" si="7"/>
        <v>#VALUE!</v>
      </c>
      <c r="K164" s="284" t="e" cm="1">
        <f t="array" ref="K164">_xlfn.SWITCH((TRUE),
Table2[[#This Row],[Fulde GG dage (tæller ikke nedsat GG med) ]]= 0,0,
Table2[[#This Row],[Fulde GG dage (tæller ikke nedsat GG med) ]]= "","",
Table2[[#This Row],[Fulde GG dage (tæller ikke nedsat GG med) ]] * Table2[[#This Row],[dagsnorm]]* Dagpengetimesats)</f>
        <v>#VALUE!</v>
      </c>
      <c r="L164" s="118" t="e">
        <f t="shared" si="19"/>
        <v>#VALUE!</v>
      </c>
      <c r="M164" s="118" t="e">
        <f t="shared" si="8"/>
        <v>#VALUE!</v>
      </c>
      <c r="N164" s="119" t="e">
        <f>IF(AC164="","",
      IF(AND(AB164,NOT(AC164)),BarselsfondenTilskud!$L$3*J164,""))</f>
        <v>#VALUE!</v>
      </c>
      <c r="O164" s="186" t="e">
        <f>IF(S164="","",
       IF(Z164=TRUE,BarselsfondenTilskud!$L$3,
            SUM(L164:N164)))</f>
        <v>#VALUE!</v>
      </c>
      <c r="P164" s="184" t="e" cm="1">
        <f t="array" ref="P164">_xlfn.SWITCH(TRUE(),
    Table2[[#This Row],[Måned (Jan=1,Dec=12)]]="", "",
    Table2[[#This Row],[Er medarbejder berigtigt til barselsdagpenge i denne periode ]]=FALSE, 0,
    Table2[[#This Row],[Start/Slut]]="Start", AntalHverdageStart,
    Table2[[#This Row],[Start/Slut]]="mellemperiode", Table2[[#This Row],[Hverdage i den pågældene måned]],
    Table2[[#This Row],[Start/Slut]]="Slut", AntalHverdageSlut,
    99
)</f>
        <v>#VALUE!</v>
      </c>
      <c r="Q164" s="192" t="e">
        <f t="shared" si="9"/>
        <v>#VALUE!</v>
      </c>
      <c r="R164" s="184" t="e">
        <f t="shared" si="22"/>
        <v>#VALUE!</v>
      </c>
      <c r="S164" s="57" t="e">
        <f>IF(S163="","",IF(S163+1&gt;MONTH(BarselsfondenTilskud!$B$131),"",S163+1))</f>
        <v>#VALUE!</v>
      </c>
      <c r="T164" s="120" t="e">
        <f t="shared" si="20"/>
        <v>#VALUE!</v>
      </c>
      <c r="U164" s="121" t="e">
        <f>IF(S164=BarselsfondenTilskud!$B$144,BarselsfondenTilskud!$B$152,
      IF(S164=BarselsfondenTilskud!$C$144,BarselsfondenTilskud!$C$152,
          IF(S164="","",FALSE)))</f>
        <v>#VALUE!</v>
      </c>
      <c r="V164" s="121" t="e">
        <f>IF(S164="","",
       AND(S164&gt;=BarselsfondenTilskud!$B$144,S164&lt;=BarselsfondenTilskud!$C$144))</f>
        <v>#VALUE!</v>
      </c>
      <c r="W164" s="122" t="e">
        <f>IF(AND(U164,S164=BarselsfondenTilskud!$B$144),BarselsfondenTilskud!$B$153,
IF(AND(U164,S164=BarselsfondenTilskud!$C$144),BarselsfondenTilskud!$C$153,0))</f>
        <v>#VALUE!</v>
      </c>
      <c r="X164" s="123" t="e">
        <f t="shared" si="21"/>
        <v>#VALUE!</v>
      </c>
      <c r="Y164" s="124" t="e">
        <f t="shared" si="10"/>
        <v>#VALUE!</v>
      </c>
      <c r="Z164" s="124" t="e">
        <f t="shared" si="11"/>
        <v>#VALUE!</v>
      </c>
      <c r="AA164" s="125" t="e">
        <f t="shared" si="12"/>
        <v>#VALUE!</v>
      </c>
      <c r="AB164" s="123" t="e">
        <f>IF(S164="","",AND(S164&gt;=BarselsfondenTilskud!$B$99,S164&lt;=BarselsfondenTilskud!$D$99))</f>
        <v>#VALUE!</v>
      </c>
      <c r="AC164" s="123" t="e">
        <f>IF(S164="","",IF(AB164,IF(S164=BarselsfondenTilskud!$B$99,BarselsfondenTilskud!$B$109,IF(S164=BarselsfondenTilskud!$D$99,BarselsfondenTilskud!$D$109,FALSE)),FALSE))</f>
        <v>#VALUE!</v>
      </c>
      <c r="AD164" s="123" t="e">
        <f>IF(S164="","",
     IF(S164=BarselsfondenTilskud!$B$99,"Start",
           IF(S164&lt;BarselsfondenTilskud!$D$99,"mellemperiode",
                IF(S164=BarselsfondenTilskud!$D$99,"Slut","Noget gik galt")
)))</f>
        <v>#VALUE!</v>
      </c>
      <c r="AE164" s="123" t="e">
        <f t="shared" si="13"/>
        <v>#VALUE!</v>
      </c>
      <c r="AF164" s="124" t="e">
        <f t="shared" si="14"/>
        <v>#VALUE!</v>
      </c>
      <c r="AG164" s="124" t="e">
        <f t="shared" si="15"/>
        <v>#VALUE!</v>
      </c>
      <c r="AH164" s="126" t="e">
        <f>IF(S164="","",DATE(YEAR(BarselsfondenTilskud!$L$31),S164,1))</f>
        <v>#VALUE!</v>
      </c>
      <c r="AI164" s="126" t="e">
        <f t="shared" si="16"/>
        <v>#VALUE!</v>
      </c>
      <c r="AJ164" s="123" t="e">
        <f t="shared" si="17"/>
        <v>#VALUE!</v>
      </c>
      <c r="AK164" s="123" t="e">
        <f t="shared" si="18"/>
        <v>#VALUE!</v>
      </c>
      <c r="AL164" s="11"/>
    </row>
    <row r="165" spans="1:38" ht="17.25" customHeight="1" x14ac:dyDescent="0.25">
      <c r="A165" s="23" t="e">
        <f>IF(S166="","",TEXT(DATE(YEAR(BarselsfondenTilskud!$L$31), S166, 1), "mmmm"))</f>
        <v>#VALUE!</v>
      </c>
      <c r="B165" s="369"/>
      <c r="C165" s="315"/>
      <c r="D165" s="315"/>
      <c r="E165" s="357" t="str">
        <f>IF(B165="","",BarselsfondenTilskud!$L$2*BarselsfondenTilskud!B165)</f>
        <v/>
      </c>
      <c r="F165" s="357"/>
      <c r="G165" s="24"/>
      <c r="J165" s="280" t="e">
        <f t="shared" si="7"/>
        <v>#VALUE!</v>
      </c>
      <c r="K165" s="284" t="e" cm="1">
        <f t="array" ref="K165">_xlfn.SWITCH((TRUE),
Table2[[#This Row],[Fulde GG dage (tæller ikke nedsat GG med) ]]= 0,0,
Table2[[#This Row],[Fulde GG dage (tæller ikke nedsat GG med) ]]= "","",
Table2[[#This Row],[Fulde GG dage (tæller ikke nedsat GG med) ]] * Table2[[#This Row],[dagsnorm]]* Dagpengetimesats)</f>
        <v>#VALUE!</v>
      </c>
      <c r="L165" s="118" t="e">
        <f t="shared" si="19"/>
        <v>#VALUE!</v>
      </c>
      <c r="M165" s="118" t="e">
        <f t="shared" si="8"/>
        <v>#VALUE!</v>
      </c>
      <c r="N165" s="119" t="e">
        <f>IF(AC165="","",
      IF(AND(AB165,NOT(AC165)),BarselsfondenTilskud!$L$3*J165,""))</f>
        <v>#VALUE!</v>
      </c>
      <c r="O165" s="186" t="e">
        <f>IF(S165="","",
       IF(Z165=TRUE,BarselsfondenTilskud!$L$3,
            SUM(L165:N165)))</f>
        <v>#VALUE!</v>
      </c>
      <c r="P165" s="184" t="e" cm="1">
        <f t="array" ref="P165">_xlfn.SWITCH(TRUE(),
    Table2[[#This Row],[Måned (Jan=1,Dec=12)]]="", "",
    Table2[[#This Row],[Er medarbejder berigtigt til barselsdagpenge i denne periode ]]=FALSE, 0,
    Table2[[#This Row],[Start/Slut]]="Start", AntalHverdageStart,
    Table2[[#This Row],[Start/Slut]]="mellemperiode", Table2[[#This Row],[Hverdage i den pågældene måned]],
    Table2[[#This Row],[Start/Slut]]="Slut", AntalHverdageSlut,
    99
)</f>
        <v>#VALUE!</v>
      </c>
      <c r="Q165" s="192" t="e">
        <f t="shared" si="9"/>
        <v>#VALUE!</v>
      </c>
      <c r="R165" s="184" t="e">
        <f t="shared" si="22"/>
        <v>#VALUE!</v>
      </c>
      <c r="S165" s="57" t="e">
        <f>IF(S164="","",IF(S164+1&gt;MONTH(BarselsfondenTilskud!$B$131),"",S164+1))</f>
        <v>#VALUE!</v>
      </c>
      <c r="T165" s="120" t="e">
        <f t="shared" si="20"/>
        <v>#VALUE!</v>
      </c>
      <c r="U165" s="121" t="e">
        <f>IF(S165=BarselsfondenTilskud!$B$144,BarselsfondenTilskud!$B$152,
      IF(S165=BarselsfondenTilskud!$C$144,BarselsfondenTilskud!$C$152,
          IF(S165="","",FALSE)))</f>
        <v>#VALUE!</v>
      </c>
      <c r="V165" s="121" t="e">
        <f>IF(S165="","",
       AND(S165&gt;=BarselsfondenTilskud!$B$144,S165&lt;=BarselsfondenTilskud!$C$144))</f>
        <v>#VALUE!</v>
      </c>
      <c r="W165" s="122" t="e">
        <f>IF(AND(U165,S165=BarselsfondenTilskud!$B$144),BarselsfondenTilskud!$B$153,
IF(AND(U165,S165=BarselsfondenTilskud!$C$144),BarselsfondenTilskud!$C$153,0))</f>
        <v>#VALUE!</v>
      </c>
      <c r="X165" s="123" t="e">
        <f t="shared" si="21"/>
        <v>#VALUE!</v>
      </c>
      <c r="Y165" s="124" t="e">
        <f t="shared" si="10"/>
        <v>#VALUE!</v>
      </c>
      <c r="Z165" s="124" t="e">
        <f t="shared" si="11"/>
        <v>#VALUE!</v>
      </c>
      <c r="AA165" s="125" t="e">
        <f t="shared" si="12"/>
        <v>#VALUE!</v>
      </c>
      <c r="AB165" s="123" t="e">
        <f>IF(S165="","",AND(S165&gt;=BarselsfondenTilskud!$B$99,S165&lt;=BarselsfondenTilskud!$D$99))</f>
        <v>#VALUE!</v>
      </c>
      <c r="AC165" s="123" t="e">
        <f>IF(S165="","",IF(AB165,IF(S165=BarselsfondenTilskud!$B$99,BarselsfondenTilskud!$B$109,IF(S165=BarselsfondenTilskud!$D$99,BarselsfondenTilskud!$D$109,FALSE)),FALSE))</f>
        <v>#VALUE!</v>
      </c>
      <c r="AD165" s="123" t="e">
        <f>IF(S165="","",
     IF(S165=BarselsfondenTilskud!$B$99,"Start",
           IF(S165&lt;BarselsfondenTilskud!$D$99,"mellemperiode",
                IF(S165=BarselsfondenTilskud!$D$99,"Slut","Noget gik galt")
)))</f>
        <v>#VALUE!</v>
      </c>
      <c r="AE165" s="123" t="e">
        <f t="shared" si="13"/>
        <v>#VALUE!</v>
      </c>
      <c r="AF165" s="124" t="e">
        <f t="shared" si="14"/>
        <v>#VALUE!</v>
      </c>
      <c r="AG165" s="124" t="e">
        <f t="shared" si="15"/>
        <v>#VALUE!</v>
      </c>
      <c r="AH165" s="126" t="e">
        <f>IF(S165="","",DATE(YEAR(BarselsfondenTilskud!$L$31),S165,1))</f>
        <v>#VALUE!</v>
      </c>
      <c r="AI165" s="126" t="e">
        <f t="shared" si="16"/>
        <v>#VALUE!</v>
      </c>
      <c r="AJ165" s="123" t="e">
        <f t="shared" si="17"/>
        <v>#VALUE!</v>
      </c>
      <c r="AK165" s="123" t="e">
        <f t="shared" si="18"/>
        <v>#VALUE!</v>
      </c>
      <c r="AL165" s="11"/>
    </row>
    <row r="166" spans="1:38" ht="17.25" customHeight="1" x14ac:dyDescent="0.25">
      <c r="A166" s="23" t="e">
        <f>IF(S167="","",TEXT(DATE(YEAR(BarselsfondenTilskud!$L$31), S167, 1), "mmmm"))</f>
        <v>#VALUE!</v>
      </c>
      <c r="B166" s="369"/>
      <c r="C166" s="315"/>
      <c r="D166" s="315"/>
      <c r="E166" s="357" t="str">
        <f>IF(B166="","",BarselsfondenTilskud!$L$2*BarselsfondenTilskud!B166)</f>
        <v/>
      </c>
      <c r="F166" s="357"/>
      <c r="G166" s="24"/>
      <c r="J166" s="280" t="e">
        <f t="shared" si="7"/>
        <v>#VALUE!</v>
      </c>
      <c r="K166" s="284" t="e" cm="1">
        <f t="array" ref="K166">_xlfn.SWITCH((TRUE),
Table2[[#This Row],[Fulde GG dage (tæller ikke nedsat GG med) ]]= 0,0,
Table2[[#This Row],[Fulde GG dage (tæller ikke nedsat GG med) ]]= "","",
Table2[[#This Row],[Fulde GG dage (tæller ikke nedsat GG med) ]] * Table2[[#This Row],[dagsnorm]]* Dagpengetimesats)</f>
        <v>#VALUE!</v>
      </c>
      <c r="L166" s="118" t="e">
        <f t="shared" si="19"/>
        <v>#VALUE!</v>
      </c>
      <c r="M166" s="118" t="e">
        <f t="shared" si="8"/>
        <v>#VALUE!</v>
      </c>
      <c r="N166" s="119" t="e">
        <f>IF(AC166="","",
      IF(AND(AB166,NOT(AC166)),BarselsfondenTilskud!$L$3*J166,""))</f>
        <v>#VALUE!</v>
      </c>
      <c r="O166" s="186" t="e">
        <f>IF(S166="","",
       IF(Z166=TRUE,BarselsfondenTilskud!$L$3,
            SUM(L166:N166)))</f>
        <v>#VALUE!</v>
      </c>
      <c r="P166" s="184" t="e" cm="1">
        <f t="array" ref="P166">_xlfn.SWITCH(TRUE(),
    Table2[[#This Row],[Måned (Jan=1,Dec=12)]]="", "",
    Table2[[#This Row],[Er medarbejder berigtigt til barselsdagpenge i denne periode ]]=FALSE, 0,
    Table2[[#This Row],[Start/Slut]]="Start", AntalHverdageStart,
    Table2[[#This Row],[Start/Slut]]="mellemperiode", Table2[[#This Row],[Hverdage i den pågældene måned]],
    Table2[[#This Row],[Start/Slut]]="Slut", AntalHverdageSlut,
    99
)</f>
        <v>#VALUE!</v>
      </c>
      <c r="Q166" s="192" t="e">
        <f t="shared" si="9"/>
        <v>#VALUE!</v>
      </c>
      <c r="R166" s="184" t="e">
        <f t="shared" si="22"/>
        <v>#VALUE!</v>
      </c>
      <c r="S166" s="57" t="e">
        <f>IF(S165="","",IF(S165+1&gt;MONTH(BarselsfondenTilskud!$B$131),"",S165+1))</f>
        <v>#VALUE!</v>
      </c>
      <c r="T166" s="120" t="e">
        <f t="shared" si="20"/>
        <v>#VALUE!</v>
      </c>
      <c r="U166" s="121" t="e">
        <f>IF(S166=BarselsfondenTilskud!$B$144,BarselsfondenTilskud!$B$152,
      IF(S166=BarselsfondenTilskud!$C$144,BarselsfondenTilskud!$C$152,
          IF(S166="","",FALSE)))</f>
        <v>#VALUE!</v>
      </c>
      <c r="V166" s="121" t="e">
        <f>IF(S166="","",
       AND(S166&gt;=BarselsfondenTilskud!$B$144,S166&lt;=BarselsfondenTilskud!$C$144))</f>
        <v>#VALUE!</v>
      </c>
      <c r="W166" s="122" t="e">
        <f>IF(AND(U166,S166=BarselsfondenTilskud!$B$144),BarselsfondenTilskud!$B$153,
IF(AND(U166,S166=BarselsfondenTilskud!$C$144),BarselsfondenTilskud!$C$153,0))</f>
        <v>#VALUE!</v>
      </c>
      <c r="X166" s="123" t="e">
        <f t="shared" si="21"/>
        <v>#VALUE!</v>
      </c>
      <c r="Y166" s="124" t="e">
        <f t="shared" si="10"/>
        <v>#VALUE!</v>
      </c>
      <c r="Z166" s="124" t="e">
        <f t="shared" si="11"/>
        <v>#VALUE!</v>
      </c>
      <c r="AA166" s="125" t="e">
        <f t="shared" si="12"/>
        <v>#VALUE!</v>
      </c>
      <c r="AB166" s="123" t="e">
        <f>IF(S166="","",AND(S166&gt;=BarselsfondenTilskud!$B$99,S166&lt;=BarselsfondenTilskud!$D$99))</f>
        <v>#VALUE!</v>
      </c>
      <c r="AC166" s="123" t="e">
        <f>IF(S166="","",IF(AB166,IF(S166=BarselsfondenTilskud!$B$99,BarselsfondenTilskud!$B$109,IF(S166=BarselsfondenTilskud!$D$99,BarselsfondenTilskud!$D$109,FALSE)),FALSE))</f>
        <v>#VALUE!</v>
      </c>
      <c r="AD166" s="123" t="e">
        <f>IF(S166="","",
     IF(S166=BarselsfondenTilskud!$B$99,"Start",
           IF(S166&lt;BarselsfondenTilskud!$D$99,"mellemperiode",
                IF(S166=BarselsfondenTilskud!$D$99,"Slut","Noget gik galt")
)))</f>
        <v>#VALUE!</v>
      </c>
      <c r="AE166" s="123" t="e">
        <f t="shared" si="13"/>
        <v>#VALUE!</v>
      </c>
      <c r="AF166" s="124" t="e">
        <f t="shared" si="14"/>
        <v>#VALUE!</v>
      </c>
      <c r="AG166" s="124" t="e">
        <f t="shared" si="15"/>
        <v>#VALUE!</v>
      </c>
      <c r="AH166" s="126" t="e">
        <f>IF(S166="","",DATE(YEAR(BarselsfondenTilskud!$L$31),S166,1))</f>
        <v>#VALUE!</v>
      </c>
      <c r="AI166" s="126" t="e">
        <f t="shared" si="16"/>
        <v>#VALUE!</v>
      </c>
      <c r="AJ166" s="123" t="e">
        <f t="shared" si="17"/>
        <v>#VALUE!</v>
      </c>
      <c r="AK166" s="123" t="e">
        <f t="shared" si="18"/>
        <v>#VALUE!</v>
      </c>
      <c r="AL166" s="11"/>
    </row>
    <row r="167" spans="1:38" ht="17.25" customHeight="1" x14ac:dyDescent="0.25">
      <c r="A167" s="23" t="e">
        <f>IF(S168="","",TEXT(DATE(YEAR(BarselsfondenTilskud!$L$31), S168, 1), "mmmm"))</f>
        <v>#VALUE!</v>
      </c>
      <c r="B167" s="369"/>
      <c r="C167" s="315"/>
      <c r="D167" s="315"/>
      <c r="E167" s="357" t="str">
        <f>IF(B167="","",BarselsfondenTilskud!$L$2*BarselsfondenTilskud!B167)</f>
        <v/>
      </c>
      <c r="F167" s="357"/>
      <c r="G167" s="24"/>
      <c r="J167" s="280" t="e">
        <f t="shared" si="7"/>
        <v>#VALUE!</v>
      </c>
      <c r="K167" s="284" t="e" cm="1">
        <f t="array" ref="K167">_xlfn.SWITCH((TRUE),
Table2[[#This Row],[Fulde GG dage (tæller ikke nedsat GG med) ]]= 0,0,
Table2[[#This Row],[Fulde GG dage (tæller ikke nedsat GG med) ]]= "","",
Table2[[#This Row],[Fulde GG dage (tæller ikke nedsat GG med) ]] * Table2[[#This Row],[dagsnorm]]* Dagpengetimesats)</f>
        <v>#VALUE!</v>
      </c>
      <c r="L167" s="118" t="e">
        <f t="shared" si="19"/>
        <v>#VALUE!</v>
      </c>
      <c r="M167" s="118" t="e">
        <f t="shared" si="8"/>
        <v>#VALUE!</v>
      </c>
      <c r="N167" s="119" t="e">
        <f>IF(AC167="","",
      IF(AND(AB167,NOT(AC167)),BarselsfondenTilskud!$L$3*J167,""))</f>
        <v>#VALUE!</v>
      </c>
      <c r="O167" s="186" t="e">
        <f>IF(S167="","",
       IF(Z167=TRUE,BarselsfondenTilskud!$L$3,
            SUM(L167:N167)))</f>
        <v>#VALUE!</v>
      </c>
      <c r="P167" s="184" t="e" cm="1">
        <f t="array" ref="P167">_xlfn.SWITCH(TRUE(),
    Table2[[#This Row],[Måned (Jan=1,Dec=12)]]="", "",
    Table2[[#This Row],[Er medarbejder berigtigt til barselsdagpenge i denne periode ]]=FALSE, 0,
    Table2[[#This Row],[Start/Slut]]="Start", AntalHverdageStart,
    Table2[[#This Row],[Start/Slut]]="mellemperiode", Table2[[#This Row],[Hverdage i den pågældene måned]],
    Table2[[#This Row],[Start/Slut]]="Slut", AntalHverdageSlut,
    99
)</f>
        <v>#VALUE!</v>
      </c>
      <c r="Q167" s="192" t="e">
        <f t="shared" si="9"/>
        <v>#VALUE!</v>
      </c>
      <c r="R167" s="184" t="e">
        <f t="shared" si="22"/>
        <v>#VALUE!</v>
      </c>
      <c r="S167" s="57" t="e">
        <f>IF(S166="","",IF(S166+1&gt;MONTH(BarselsfondenTilskud!$B$131),"",S166+1))</f>
        <v>#VALUE!</v>
      </c>
      <c r="T167" s="120" t="e">
        <f t="shared" si="20"/>
        <v>#VALUE!</v>
      </c>
      <c r="U167" s="121" t="e">
        <f>IF(S167=BarselsfondenTilskud!$B$144,BarselsfondenTilskud!$B$152,
      IF(S167=BarselsfondenTilskud!$C$144,BarselsfondenTilskud!$C$152,
          IF(S167="","",FALSE)))</f>
        <v>#VALUE!</v>
      </c>
      <c r="V167" s="121" t="e">
        <f>IF(S167="","",
       AND(S167&gt;=BarselsfondenTilskud!$B$144,S167&lt;=BarselsfondenTilskud!$C$144))</f>
        <v>#VALUE!</v>
      </c>
      <c r="W167" s="122" t="e">
        <f>IF(AND(U167,S167=BarselsfondenTilskud!$B$144),BarselsfondenTilskud!$B$153,
IF(AND(U167,S167=BarselsfondenTilskud!$C$144),BarselsfondenTilskud!$C$153,0))</f>
        <v>#VALUE!</v>
      </c>
      <c r="X167" s="123" t="e">
        <f t="shared" si="21"/>
        <v>#VALUE!</v>
      </c>
      <c r="Y167" s="124" t="e">
        <f t="shared" si="10"/>
        <v>#VALUE!</v>
      </c>
      <c r="Z167" s="124" t="e">
        <f t="shared" si="11"/>
        <v>#VALUE!</v>
      </c>
      <c r="AA167" s="125" t="e">
        <f t="shared" si="12"/>
        <v>#VALUE!</v>
      </c>
      <c r="AB167" s="123" t="e">
        <f>IF(S167="","",AND(S167&gt;=BarselsfondenTilskud!$B$99,S167&lt;=BarselsfondenTilskud!$D$99))</f>
        <v>#VALUE!</v>
      </c>
      <c r="AC167" s="123" t="e">
        <f>IF(S167="","",IF(AB167,IF(S167=BarselsfondenTilskud!$B$99,BarselsfondenTilskud!$B$109,IF(S167=BarselsfondenTilskud!$D$99,BarselsfondenTilskud!$D$109,FALSE)),FALSE))</f>
        <v>#VALUE!</v>
      </c>
      <c r="AD167" s="123" t="e">
        <f>IF(S167="","",
     IF(S167=BarselsfondenTilskud!$B$99,"Start",
           IF(S167&lt;BarselsfondenTilskud!$D$99,"mellemperiode",
                IF(S167=BarselsfondenTilskud!$D$99,"Slut","Noget gik galt")
)))</f>
        <v>#VALUE!</v>
      </c>
      <c r="AE167" s="123" t="e">
        <f t="shared" si="13"/>
        <v>#VALUE!</v>
      </c>
      <c r="AF167" s="124" t="e">
        <f t="shared" si="14"/>
        <v>#VALUE!</v>
      </c>
      <c r="AG167" s="124" t="e">
        <f t="shared" si="15"/>
        <v>#VALUE!</v>
      </c>
      <c r="AH167" s="126" t="e">
        <f>IF(S167="","",DATE(YEAR(BarselsfondenTilskud!$L$31),S167,1))</f>
        <v>#VALUE!</v>
      </c>
      <c r="AI167" s="126" t="e">
        <f t="shared" si="16"/>
        <v>#VALUE!</v>
      </c>
      <c r="AJ167" s="123" t="e">
        <f t="shared" si="17"/>
        <v>#VALUE!</v>
      </c>
      <c r="AK167" s="123" t="e">
        <f t="shared" si="18"/>
        <v>#VALUE!</v>
      </c>
      <c r="AL167" s="11"/>
    </row>
    <row r="168" spans="1:38" ht="17.25" customHeight="1" x14ac:dyDescent="0.25">
      <c r="A168" s="23" t="e">
        <f>IF(S169="","",TEXT(DATE(YEAR(BarselsfondenTilskud!$L$31), S169, 1), "mmmm"))</f>
        <v>#VALUE!</v>
      </c>
      <c r="B168" s="369"/>
      <c r="C168" s="315"/>
      <c r="D168" s="315"/>
      <c r="E168" s="357" t="str">
        <f>IF(B168="","",BarselsfondenTilskud!$L$2*BarselsfondenTilskud!B168)</f>
        <v/>
      </c>
      <c r="F168" s="357"/>
      <c r="G168" s="24"/>
      <c r="J168" s="280" t="e">
        <f t="shared" si="7"/>
        <v>#VALUE!</v>
      </c>
      <c r="K168" s="284" t="e" cm="1">
        <f t="array" ref="K168">_xlfn.SWITCH((TRUE),
Table2[[#This Row],[Fulde GG dage (tæller ikke nedsat GG med) ]]= 0,0,
Table2[[#This Row],[Fulde GG dage (tæller ikke nedsat GG med) ]]= "","",
Table2[[#This Row],[Fulde GG dage (tæller ikke nedsat GG med) ]] * Table2[[#This Row],[dagsnorm]]* Dagpengetimesats)</f>
        <v>#VALUE!</v>
      </c>
      <c r="L168" s="118" t="e">
        <f t="shared" si="19"/>
        <v>#VALUE!</v>
      </c>
      <c r="M168" s="118" t="e">
        <f t="shared" si="8"/>
        <v>#VALUE!</v>
      </c>
      <c r="N168" s="119" t="e">
        <f>IF(AC168="","",
      IF(AND(AB168,NOT(AC168)),BarselsfondenTilskud!$L$3*J168,""))</f>
        <v>#VALUE!</v>
      </c>
      <c r="O168" s="186" t="e">
        <f>IF(S168="","",
       IF(Z168=TRUE,BarselsfondenTilskud!$L$3,
            SUM(L168:N168)))</f>
        <v>#VALUE!</v>
      </c>
      <c r="P168" s="184" t="e" cm="1">
        <f t="array" ref="P168">_xlfn.SWITCH(TRUE(),
    Table2[[#This Row],[Måned (Jan=1,Dec=12)]]="", "",
    Table2[[#This Row],[Er medarbejder berigtigt til barselsdagpenge i denne periode ]]=FALSE, 0,
    Table2[[#This Row],[Start/Slut]]="Start", AntalHverdageStart,
    Table2[[#This Row],[Start/Slut]]="mellemperiode", Table2[[#This Row],[Hverdage i den pågældene måned]],
    Table2[[#This Row],[Start/Slut]]="Slut", AntalHverdageSlut,
    99
)</f>
        <v>#VALUE!</v>
      </c>
      <c r="Q168" s="192" t="e">
        <f t="shared" si="9"/>
        <v>#VALUE!</v>
      </c>
      <c r="R168" s="184" t="e">
        <f t="shared" si="22"/>
        <v>#VALUE!</v>
      </c>
      <c r="S168" s="57" t="e">
        <f>IF(S167="","",IF(S167+1&gt;MONTH(BarselsfondenTilskud!$B$131),"",S167+1))</f>
        <v>#VALUE!</v>
      </c>
      <c r="T168" s="120" t="e">
        <f t="shared" si="20"/>
        <v>#VALUE!</v>
      </c>
      <c r="U168" s="121" t="e">
        <f>IF(S168=BarselsfondenTilskud!$B$144,BarselsfondenTilskud!$B$152,
      IF(S168=BarselsfondenTilskud!$C$144,BarselsfondenTilskud!$C$152,
          IF(S168="","",FALSE)))</f>
        <v>#VALUE!</v>
      </c>
      <c r="V168" s="121" t="e">
        <f>IF(S168="","",
       AND(S168&gt;=BarselsfondenTilskud!$B$144,S168&lt;=BarselsfondenTilskud!$C$144))</f>
        <v>#VALUE!</v>
      </c>
      <c r="W168" s="122" t="e">
        <f>IF(AND(U168,S168=BarselsfondenTilskud!$B$144),BarselsfondenTilskud!$B$153,
IF(AND(U168,S168=BarselsfondenTilskud!$C$144),BarselsfondenTilskud!$C$153,0))</f>
        <v>#VALUE!</v>
      </c>
      <c r="X168" s="123" t="e">
        <f t="shared" si="21"/>
        <v>#VALUE!</v>
      </c>
      <c r="Y168" s="124" t="e">
        <f t="shared" si="10"/>
        <v>#VALUE!</v>
      </c>
      <c r="Z168" s="124" t="e">
        <f t="shared" si="11"/>
        <v>#VALUE!</v>
      </c>
      <c r="AA168" s="125" t="e">
        <f t="shared" si="12"/>
        <v>#VALUE!</v>
      </c>
      <c r="AB168" s="123" t="e">
        <f>IF(S168="","",AND(S168&gt;=BarselsfondenTilskud!$B$99,S168&lt;=BarselsfondenTilskud!$D$99))</f>
        <v>#VALUE!</v>
      </c>
      <c r="AC168" s="123" t="e">
        <f>IF(S168="","",IF(AB168,IF(S168=BarselsfondenTilskud!$B$99,BarselsfondenTilskud!$B$109,IF(S168=BarselsfondenTilskud!$D$99,BarselsfondenTilskud!$D$109,FALSE)),FALSE))</f>
        <v>#VALUE!</v>
      </c>
      <c r="AD168" s="123" t="e">
        <f>IF(S168="","",
     IF(S168=BarselsfondenTilskud!$B$99,"Start",
           IF(S168&lt;BarselsfondenTilskud!$D$99,"mellemperiode",
                IF(S168=BarselsfondenTilskud!$D$99,"Slut","Noget gik galt")
)))</f>
        <v>#VALUE!</v>
      </c>
      <c r="AE168" s="123" t="e">
        <f t="shared" si="13"/>
        <v>#VALUE!</v>
      </c>
      <c r="AF168" s="124" t="e">
        <f t="shared" si="14"/>
        <v>#VALUE!</v>
      </c>
      <c r="AG168" s="124" t="e">
        <f t="shared" si="15"/>
        <v>#VALUE!</v>
      </c>
      <c r="AH168" s="126" t="e">
        <f>IF(S168="","",DATE(YEAR(BarselsfondenTilskud!$L$31),S168,1))</f>
        <v>#VALUE!</v>
      </c>
      <c r="AI168" s="126" t="e">
        <f t="shared" si="16"/>
        <v>#VALUE!</v>
      </c>
      <c r="AJ168" s="123" t="e">
        <f t="shared" si="17"/>
        <v>#VALUE!</v>
      </c>
      <c r="AK168" s="123" t="e">
        <f t="shared" si="18"/>
        <v>#VALUE!</v>
      </c>
      <c r="AL168" s="11"/>
    </row>
    <row r="169" spans="1:38" ht="17.25" customHeight="1" x14ac:dyDescent="0.25">
      <c r="A169" s="23" t="e">
        <f>IF(S170="","",TEXT(DATE(YEAR(BarselsfondenTilskud!$L$31), S170, 1), "mmmm"))</f>
        <v>#VALUE!</v>
      </c>
      <c r="B169" s="369"/>
      <c r="C169" s="315"/>
      <c r="D169" s="315"/>
      <c r="E169" s="357" t="str">
        <f>IF(B169="","",BarselsfondenTilskud!$L$2*BarselsfondenTilskud!B169)</f>
        <v/>
      </c>
      <c r="F169" s="357"/>
      <c r="G169" s="24"/>
      <c r="J169" s="280" t="e">
        <f t="shared" si="7"/>
        <v>#VALUE!</v>
      </c>
      <c r="K169" s="284" t="e" cm="1">
        <f t="array" ref="K169">_xlfn.SWITCH((TRUE),
Table2[[#This Row],[Fulde GG dage (tæller ikke nedsat GG med) ]]= 0,0,
Table2[[#This Row],[Fulde GG dage (tæller ikke nedsat GG med) ]]= "","",
Table2[[#This Row],[Fulde GG dage (tæller ikke nedsat GG med) ]] * Table2[[#This Row],[dagsnorm]]* Dagpengetimesats)</f>
        <v>#VALUE!</v>
      </c>
      <c r="L169" s="118" t="e">
        <f t="shared" si="19"/>
        <v>#VALUE!</v>
      </c>
      <c r="M169" s="118" t="e">
        <f t="shared" si="8"/>
        <v>#VALUE!</v>
      </c>
      <c r="N169" s="119" t="e">
        <f>IF(AC169="","",
      IF(AND(AB169,NOT(AC169)),BarselsfondenTilskud!$L$3*J169,""))</f>
        <v>#VALUE!</v>
      </c>
      <c r="O169" s="186" t="e">
        <f>IF(S169="","",
       IF(Z169=TRUE,BarselsfondenTilskud!$L$3,
            SUM(L169:N169)))</f>
        <v>#VALUE!</v>
      </c>
      <c r="P169" s="184" t="e" cm="1">
        <f t="array" ref="P169">_xlfn.SWITCH(TRUE(),
    Table2[[#This Row],[Måned (Jan=1,Dec=12)]]="", "",
    Table2[[#This Row],[Er medarbejder berigtigt til barselsdagpenge i denne periode ]]=FALSE, 0,
    Table2[[#This Row],[Start/Slut]]="Start", AntalHverdageStart,
    Table2[[#This Row],[Start/Slut]]="mellemperiode", Table2[[#This Row],[Hverdage i den pågældene måned]],
    Table2[[#This Row],[Start/Slut]]="Slut", AntalHverdageSlut,
    99
)</f>
        <v>#VALUE!</v>
      </c>
      <c r="Q169" s="192" t="e">
        <f t="shared" si="9"/>
        <v>#VALUE!</v>
      </c>
      <c r="R169" s="184" t="e">
        <f t="shared" si="22"/>
        <v>#VALUE!</v>
      </c>
      <c r="S169" s="57" t="e">
        <f>IF(S168="","",IF(S168+1&gt;MONTH(BarselsfondenTilskud!$B$131),"",S168+1))</f>
        <v>#VALUE!</v>
      </c>
      <c r="T169" s="120" t="e">
        <f t="shared" si="20"/>
        <v>#VALUE!</v>
      </c>
      <c r="U169" s="121" t="e">
        <f>IF(S169=BarselsfondenTilskud!$B$144,BarselsfondenTilskud!$B$152,
      IF(S169=BarselsfondenTilskud!$C$144,BarselsfondenTilskud!$C$152,
          IF(S169="","",FALSE)))</f>
        <v>#VALUE!</v>
      </c>
      <c r="V169" s="121" t="e">
        <f>IF(S169="","",
       AND(S169&gt;=BarselsfondenTilskud!$B$144,S169&lt;=BarselsfondenTilskud!$C$144))</f>
        <v>#VALUE!</v>
      </c>
      <c r="W169" s="122" t="e">
        <f>IF(AND(U169,S169=BarselsfondenTilskud!$B$144),BarselsfondenTilskud!$B$153,
IF(AND(U169,S169=BarselsfondenTilskud!$C$144),BarselsfondenTilskud!$C$153,0))</f>
        <v>#VALUE!</v>
      </c>
      <c r="X169" s="123" t="e">
        <f t="shared" si="21"/>
        <v>#VALUE!</v>
      </c>
      <c r="Y169" s="124" t="e">
        <f t="shared" si="10"/>
        <v>#VALUE!</v>
      </c>
      <c r="Z169" s="124" t="e">
        <f t="shared" si="11"/>
        <v>#VALUE!</v>
      </c>
      <c r="AA169" s="125" t="e">
        <f t="shared" si="12"/>
        <v>#VALUE!</v>
      </c>
      <c r="AB169" s="123" t="e">
        <f>IF(S169="","",AND(S169&gt;=BarselsfondenTilskud!$B$99,S169&lt;=BarselsfondenTilskud!$D$99))</f>
        <v>#VALUE!</v>
      </c>
      <c r="AC169" s="123" t="e">
        <f>IF(S169="","",IF(AB169,IF(S169=BarselsfondenTilskud!$B$99,BarselsfondenTilskud!$B$109,IF(S169=BarselsfondenTilskud!$D$99,BarselsfondenTilskud!$D$109,FALSE)),FALSE))</f>
        <v>#VALUE!</v>
      </c>
      <c r="AD169" s="123" t="e">
        <f>IF(S169="","",
     IF(S169=BarselsfondenTilskud!$B$99,"Start",
           IF(S169&lt;BarselsfondenTilskud!$D$99,"mellemperiode",
                IF(S169=BarselsfondenTilskud!$D$99,"Slut","Noget gik galt")
)))</f>
        <v>#VALUE!</v>
      </c>
      <c r="AE169" s="123" t="e">
        <f t="shared" si="13"/>
        <v>#VALUE!</v>
      </c>
      <c r="AF169" s="124" t="e">
        <f t="shared" si="14"/>
        <v>#VALUE!</v>
      </c>
      <c r="AG169" s="124" t="e">
        <f t="shared" si="15"/>
        <v>#VALUE!</v>
      </c>
      <c r="AH169" s="126" t="e">
        <f>IF(S169="","",DATE(YEAR(BarselsfondenTilskud!$L$31),S169,1))</f>
        <v>#VALUE!</v>
      </c>
      <c r="AI169" s="126" t="e">
        <f t="shared" si="16"/>
        <v>#VALUE!</v>
      </c>
      <c r="AJ169" s="123" t="e">
        <f t="shared" si="17"/>
        <v>#VALUE!</v>
      </c>
      <c r="AK169" s="123" t="e">
        <f t="shared" si="18"/>
        <v>#VALUE!</v>
      </c>
      <c r="AL169" s="11"/>
    </row>
    <row r="170" spans="1:38" ht="17.25" customHeight="1" thickBot="1" x14ac:dyDescent="0.3">
      <c r="A170" s="127"/>
      <c r="B170" s="399">
        <f>SUM(B158:B169)</f>
        <v>0</v>
      </c>
      <c r="C170" s="400"/>
      <c r="D170" s="400"/>
      <c r="E170" s="417">
        <f>SUM(E158:E169)</f>
        <v>0</v>
      </c>
      <c r="F170" s="417"/>
      <c r="G170" s="24"/>
      <c r="J170" s="280" t="e">
        <f t="shared" si="7"/>
        <v>#VALUE!</v>
      </c>
      <c r="K170" s="284" t="e" cm="1">
        <f t="array" ref="K170">_xlfn.SWITCH((TRUE),
Table2[[#This Row],[Fulde GG dage (tæller ikke nedsat GG med) ]]= 0,0,
Table2[[#This Row],[Fulde GG dage (tæller ikke nedsat GG med) ]]= "","",
Table2[[#This Row],[Fulde GG dage (tæller ikke nedsat GG med) ]] * Table2[[#This Row],[dagsnorm]]* Dagpengetimesats)</f>
        <v>#VALUE!</v>
      </c>
      <c r="L170" s="118" t="e">
        <f t="shared" si="19"/>
        <v>#VALUE!</v>
      </c>
      <c r="M170" s="118" t="e">
        <f t="shared" si="8"/>
        <v>#VALUE!</v>
      </c>
      <c r="N170" s="119" t="e">
        <f>IF(AC170="","",
      IF(AND(AB170,NOT(AC170)),BarselsfondenTilskud!$L$3*J170,""))</f>
        <v>#VALUE!</v>
      </c>
      <c r="O170" s="186" t="e">
        <f>IF(S170="","",
       IF(Z170=TRUE,BarselsfondenTilskud!$L$3,
            SUM(L170:N170)))</f>
        <v>#VALUE!</v>
      </c>
      <c r="P170" s="184" t="e" cm="1">
        <f t="array" ref="P170">_xlfn.SWITCH(TRUE(),
    Table2[[#This Row],[Måned (Jan=1,Dec=12)]]="", "",
    Table2[[#This Row],[Er medarbejder berigtigt til barselsdagpenge i denne periode ]]=FALSE, 0,
    Table2[[#This Row],[Start/Slut]]="Start", AntalHverdageStart,
    Table2[[#This Row],[Start/Slut]]="mellemperiode", Table2[[#This Row],[Hverdage i den pågældene måned]],
    Table2[[#This Row],[Start/Slut]]="Slut", AntalHverdageSlut,
    99
)</f>
        <v>#VALUE!</v>
      </c>
      <c r="Q170" s="192" t="e">
        <f t="shared" si="9"/>
        <v>#VALUE!</v>
      </c>
      <c r="R170" s="184" t="e">
        <f t="shared" si="22"/>
        <v>#VALUE!</v>
      </c>
      <c r="S170" s="57" t="e">
        <f>IF(S169="","",IF(S169+1&gt;MONTH(BarselsfondenTilskud!$B$131),"",S169+1))</f>
        <v>#VALUE!</v>
      </c>
      <c r="T170" s="120" t="e">
        <f t="shared" si="20"/>
        <v>#VALUE!</v>
      </c>
      <c r="U170" s="121" t="e">
        <f>IF(S170=BarselsfondenTilskud!$B$144,BarselsfondenTilskud!$B$152,
      IF(S170=BarselsfondenTilskud!$C$144,BarselsfondenTilskud!$C$152,
          IF(S170="","",FALSE)))</f>
        <v>#VALUE!</v>
      </c>
      <c r="V170" s="121" t="e">
        <f>IF(S170="","",
       AND(S170&gt;=BarselsfondenTilskud!$B$144,S170&lt;=BarselsfondenTilskud!$C$144))</f>
        <v>#VALUE!</v>
      </c>
      <c r="W170" s="122" t="e">
        <f>IF(AND(U170,S170=BarselsfondenTilskud!$B$144),BarselsfondenTilskud!$B$153,
IF(AND(U170,S170=BarselsfondenTilskud!$C$144),BarselsfondenTilskud!$C$153,0))</f>
        <v>#VALUE!</v>
      </c>
      <c r="X170" s="123" t="e">
        <f t="shared" si="21"/>
        <v>#VALUE!</v>
      </c>
      <c r="Y170" s="124" t="e">
        <f t="shared" si="10"/>
        <v>#VALUE!</v>
      </c>
      <c r="Z170" s="124" t="e">
        <f t="shared" si="11"/>
        <v>#VALUE!</v>
      </c>
      <c r="AA170" s="125" t="e">
        <f t="shared" si="12"/>
        <v>#VALUE!</v>
      </c>
      <c r="AB170" s="123" t="e">
        <f>IF(S170="","",AND(S170&gt;=BarselsfondenTilskud!$B$99,S170&lt;=BarselsfondenTilskud!$D$99))</f>
        <v>#VALUE!</v>
      </c>
      <c r="AC170" s="123" t="e">
        <f>IF(S170="","",IF(AB170,IF(S170=BarselsfondenTilskud!$B$99,BarselsfondenTilskud!$B$109,IF(S170=BarselsfondenTilskud!$D$99,BarselsfondenTilskud!$D$109,FALSE)),FALSE))</f>
        <v>#VALUE!</v>
      </c>
      <c r="AD170" s="123" t="e">
        <f>IF(S170="","",
     IF(S170=BarselsfondenTilskud!$B$99,"Start",
           IF(S170&lt;BarselsfondenTilskud!$D$99,"mellemperiode",
                IF(S170=BarselsfondenTilskud!$D$99,"Slut","Noget gik galt")
)))</f>
        <v>#VALUE!</v>
      </c>
      <c r="AE170" s="123" t="e">
        <f t="shared" si="13"/>
        <v>#VALUE!</v>
      </c>
      <c r="AF170" s="124" t="e">
        <f t="shared" si="14"/>
        <v>#VALUE!</v>
      </c>
      <c r="AG170" s="124" t="e">
        <f t="shared" si="15"/>
        <v>#VALUE!</v>
      </c>
      <c r="AH170" s="126" t="e">
        <f>IF(S170="","",DATE(YEAR(BarselsfondenTilskud!$L$31),S170,1))</f>
        <v>#VALUE!</v>
      </c>
      <c r="AI170" s="126" t="e">
        <f t="shared" si="16"/>
        <v>#VALUE!</v>
      </c>
      <c r="AJ170" s="123" t="e">
        <f t="shared" si="17"/>
        <v>#VALUE!</v>
      </c>
      <c r="AK170" s="123" t="e">
        <f t="shared" si="18"/>
        <v>#VALUE!</v>
      </c>
      <c r="AL170" s="11"/>
    </row>
    <row r="171" spans="1:38" ht="17.25" customHeight="1" thickBot="1" x14ac:dyDescent="0.3">
      <c r="A171" s="23"/>
      <c r="B171" s="12"/>
      <c r="C171" s="12"/>
      <c r="D171" s="12"/>
      <c r="E171" s="12"/>
      <c r="F171" s="12"/>
      <c r="G171" s="74"/>
      <c r="J171" s="281"/>
      <c r="K171" s="284" t="e">
        <f>SUM(K159:K170)</f>
        <v>#VALUE!</v>
      </c>
      <c r="L171" s="128" t="e">
        <f>SUM(L159:L170)</f>
        <v>#VALUE!</v>
      </c>
      <c r="M171" s="128" t="e">
        <f>SUM(M159:M170)</f>
        <v>#VALUE!</v>
      </c>
      <c r="N171" s="128" t="e">
        <f>SUM(N159:N170)</f>
        <v>#VALUE!</v>
      </c>
      <c r="O171" s="187" t="e">
        <f>SUM(O159:O170)</f>
        <v>#VALUE!</v>
      </c>
      <c r="P171" s="185" t="s">
        <v>160</v>
      </c>
      <c r="Q171" s="217" t="e">
        <f>SUM(Q159:Q170)</f>
        <v>#VALUE!</v>
      </c>
      <c r="R171" s="283" t="e">
        <f>SUM(R159:R170)+TotalGGPerDag+TotalNSG</f>
        <v>#VALUE!</v>
      </c>
      <c r="S171" s="129" t="e">
        <f>IF(S170="","",IF(S170+1&gt;MONTH(BarselsfondenTilskud!$B$131),"",S170+1))</f>
        <v>#VALUE!</v>
      </c>
      <c r="T171" s="130"/>
      <c r="U171" s="130"/>
      <c r="V171" s="130"/>
      <c r="W171" s="131"/>
      <c r="X171" s="132" t="e">
        <f>SUM(X159:X170)</f>
        <v>#VALUE!</v>
      </c>
      <c r="Y171" s="133" t="e">
        <f>SUM(Y159:Y170)</f>
        <v>#VALUE!</v>
      </c>
      <c r="Z171" s="133"/>
      <c r="AA171" s="133" t="e">
        <f>SUM(AA159:AA170)</f>
        <v>#VALUE!</v>
      </c>
      <c r="AB171" s="134"/>
      <c r="AC171" s="134"/>
      <c r="AD171" s="134"/>
      <c r="AE171" s="134"/>
      <c r="AF171" s="134"/>
      <c r="AG171" s="134"/>
      <c r="AH171" s="134"/>
      <c r="AI171" s="134"/>
      <c r="AJ171" s="134"/>
      <c r="AK171" s="135" t="e">
        <f>IF(OR(AK159:AK170),TRUE,FALSE)</f>
        <v>#VALUE!</v>
      </c>
      <c r="AL171" s="11"/>
    </row>
    <row r="172" spans="1:38" ht="17.25" customHeight="1" x14ac:dyDescent="0.25">
      <c r="A172" s="360" t="s">
        <v>161</v>
      </c>
      <c r="B172" s="361"/>
      <c r="C172" s="361"/>
      <c r="D172" s="361"/>
      <c r="E172" s="361"/>
      <c r="F172" s="361"/>
      <c r="G172" s="362"/>
      <c r="K172" s="10"/>
      <c r="L172" s="136"/>
      <c r="M172" s="136"/>
      <c r="N172" s="137"/>
      <c r="O172" s="135"/>
      <c r="P172" s="218"/>
      <c r="Q172" s="219"/>
      <c r="R172" s="218"/>
      <c r="S172" s="11"/>
      <c r="T172" s="11"/>
      <c r="U172" s="11"/>
      <c r="V172" s="11"/>
      <c r="W172" s="11"/>
      <c r="X172" s="138"/>
      <c r="Y172" s="139"/>
      <c r="Z172" s="139"/>
      <c r="AA172" s="139"/>
      <c r="AB172" s="11"/>
      <c r="AC172" s="11"/>
      <c r="AD172" s="11"/>
      <c r="AE172" s="11"/>
      <c r="AF172" s="11"/>
      <c r="AG172" s="11"/>
      <c r="AH172" s="11"/>
      <c r="AI172" s="11"/>
      <c r="AJ172" s="11"/>
      <c r="AK172" s="135"/>
      <c r="AL172" s="11"/>
    </row>
    <row r="173" spans="1:38" ht="17.25" customHeight="1" x14ac:dyDescent="0.25">
      <c r="A173" s="363"/>
      <c r="B173" s="364"/>
      <c r="C173" s="364"/>
      <c r="D173" s="364"/>
      <c r="E173" s="364"/>
      <c r="F173" s="364"/>
      <c r="G173" s="365"/>
      <c r="K173" s="10"/>
      <c r="L173" s="136"/>
      <c r="M173" s="136"/>
      <c r="N173" s="137"/>
      <c r="O173" s="135"/>
      <c r="P173" s="218" t="s">
        <v>204</v>
      </c>
      <c r="Q173" s="219"/>
      <c r="R173" s="218"/>
      <c r="S173" s="11"/>
      <c r="T173" s="11"/>
      <c r="U173" s="11"/>
      <c r="V173" s="11"/>
      <c r="W173" s="11"/>
      <c r="X173" s="138"/>
      <c r="Y173" s="139"/>
      <c r="Z173" s="139"/>
      <c r="AA173" s="139"/>
      <c r="AB173" s="11"/>
      <c r="AC173" s="11"/>
      <c r="AD173" s="11"/>
      <c r="AE173" s="11"/>
      <c r="AF173" s="11"/>
      <c r="AG173" s="11"/>
      <c r="AH173" s="11"/>
      <c r="AI173" s="11"/>
      <c r="AJ173" s="11"/>
      <c r="AK173" s="135"/>
      <c r="AL173" s="11"/>
    </row>
    <row r="174" spans="1:38" ht="17.25" customHeight="1" x14ac:dyDescent="0.25">
      <c r="A174" s="363"/>
      <c r="B174" s="364"/>
      <c r="C174" s="364"/>
      <c r="D174" s="364"/>
      <c r="E174" s="364"/>
      <c r="F174" s="364"/>
      <c r="G174" s="365"/>
      <c r="K174" s="10"/>
      <c r="L174" s="136"/>
      <c r="M174" s="136"/>
      <c r="N174" s="137"/>
      <c r="O174" s="135"/>
      <c r="P174" s="218"/>
      <c r="Q174" s="219"/>
      <c r="R174" s="218" t="e">
        <f>TotalDagpengeGammelMetode+TotalNSG</f>
        <v>#VALUE!</v>
      </c>
      <c r="S174" s="11"/>
      <c r="T174" s="11"/>
      <c r="U174" s="11"/>
      <c r="V174" s="11"/>
      <c r="W174" s="11"/>
      <c r="X174" s="138"/>
      <c r="Y174" s="139"/>
      <c r="Z174" s="139"/>
      <c r="AA174" s="139"/>
      <c r="AB174" s="11"/>
      <c r="AC174" s="11"/>
      <c r="AD174" s="11"/>
      <c r="AE174" s="11"/>
      <c r="AF174" s="11"/>
      <c r="AG174" s="11"/>
      <c r="AH174" s="11"/>
      <c r="AI174" s="11"/>
      <c r="AJ174" s="11"/>
      <c r="AK174" s="135"/>
      <c r="AL174" s="11"/>
    </row>
    <row r="175" spans="1:38" ht="17.25" customHeight="1" x14ac:dyDescent="0.25">
      <c r="A175" s="366"/>
      <c r="B175" s="367"/>
      <c r="C175" s="367"/>
      <c r="D175" s="367"/>
      <c r="E175" s="367"/>
      <c r="F175" s="367"/>
      <c r="G175" s="368"/>
      <c r="K175" s="10"/>
      <c r="L175" s="136"/>
      <c r="M175" s="136"/>
      <c r="N175" s="137"/>
      <c r="O175" s="135"/>
      <c r="P175" s="218"/>
      <c r="Q175" s="219"/>
      <c r="R175" s="218"/>
      <c r="S175" s="11"/>
      <c r="T175" s="11"/>
      <c r="U175" s="11"/>
      <c r="V175" s="11"/>
      <c r="W175" s="11"/>
      <c r="X175" s="138"/>
      <c r="Y175" s="139"/>
      <c r="Z175" s="139"/>
      <c r="AA175" s="139"/>
      <c r="AB175" s="11"/>
      <c r="AC175" s="11"/>
      <c r="AD175" s="11"/>
      <c r="AE175" s="11"/>
      <c r="AF175" s="11"/>
      <c r="AG175" s="11"/>
      <c r="AH175" s="11"/>
      <c r="AI175" s="11"/>
      <c r="AJ175" s="11"/>
      <c r="AK175" s="135"/>
      <c r="AL175" s="11"/>
    </row>
    <row r="176" spans="1:38" ht="17.25" customHeight="1" x14ac:dyDescent="0.25">
      <c r="A176" s="271"/>
      <c r="B176" s="272"/>
      <c r="C176" s="272"/>
      <c r="D176" s="272"/>
      <c r="E176" s="272"/>
      <c r="F176" s="272"/>
      <c r="G176" s="273"/>
      <c r="K176" s="10"/>
      <c r="L176" s="136"/>
      <c r="M176" s="136"/>
      <c r="N176" s="137"/>
      <c r="O176" s="135"/>
      <c r="P176" s="218" t="s">
        <v>205</v>
      </c>
      <c r="Q176" s="219"/>
      <c r="R176" s="221" t="e">
        <f>ABS(R171-R174)</f>
        <v>#VALUE!</v>
      </c>
      <c r="S176" s="11"/>
      <c r="T176" s="11"/>
      <c r="U176" s="11"/>
      <c r="V176" s="11"/>
      <c r="W176" s="11"/>
      <c r="X176" s="138"/>
      <c r="Y176" s="139"/>
      <c r="Z176" s="139"/>
      <c r="AA176" s="139"/>
      <c r="AB176" s="11"/>
      <c r="AC176" s="11"/>
      <c r="AD176" s="11"/>
      <c r="AE176" s="11"/>
      <c r="AF176" s="11"/>
      <c r="AG176" s="11"/>
      <c r="AH176" s="11"/>
      <c r="AI176" s="11"/>
      <c r="AJ176" s="11"/>
      <c r="AK176" s="135"/>
      <c r="AL176" s="11"/>
    </row>
    <row r="177" spans="1:38" ht="17.25" customHeight="1" thickBot="1" x14ac:dyDescent="0.35">
      <c r="A177" s="428" t="s">
        <v>162</v>
      </c>
      <c r="B177" s="429"/>
      <c r="C177" s="429"/>
      <c r="D177" s="429"/>
      <c r="E177" s="140"/>
      <c r="F177" s="140"/>
      <c r="G177" s="141"/>
      <c r="H177" s="10"/>
      <c r="K177" s="11"/>
      <c r="L177" s="11"/>
      <c r="M177" s="11"/>
      <c r="N177" s="11"/>
      <c r="O177" s="11"/>
      <c r="P177" s="220"/>
      <c r="Q177" s="220"/>
      <c r="R177" s="192"/>
      <c r="S177" s="11"/>
      <c r="T177" s="11"/>
      <c r="U177" s="11"/>
      <c r="V177" s="11"/>
      <c r="W177" s="11"/>
      <c r="X177" s="11"/>
      <c r="Y177" s="11"/>
      <c r="Z177" s="11"/>
      <c r="AA177" s="11"/>
      <c r="AB177" s="11"/>
      <c r="AC177" s="11"/>
      <c r="AD177" s="11"/>
      <c r="AE177" s="11"/>
      <c r="AF177" s="11"/>
      <c r="AG177" s="11"/>
      <c r="AH177" s="11"/>
      <c r="AI177" s="11"/>
      <c r="AJ177" s="11"/>
      <c r="AK177" s="11"/>
      <c r="AL177" s="11"/>
    </row>
    <row r="178" spans="1:38" ht="17.25" customHeight="1" x14ac:dyDescent="0.25">
      <c r="A178" s="317" t="s">
        <v>163</v>
      </c>
      <c r="B178" s="318"/>
      <c r="C178" s="318"/>
      <c r="D178" s="318"/>
      <c r="E178" s="142"/>
      <c r="F178" s="142"/>
      <c r="G178" s="143"/>
      <c r="H178" s="10"/>
      <c r="I178" s="11"/>
      <c r="J178" s="11"/>
      <c r="K178" s="11"/>
      <c r="L178" s="11"/>
      <c r="M178" s="11"/>
      <c r="N178" s="11"/>
      <c r="O178" s="11"/>
      <c r="P178" s="220"/>
      <c r="Q178" s="220"/>
      <c r="R178" s="220"/>
      <c r="S178" s="11"/>
      <c r="T178" s="11"/>
      <c r="U178" s="11"/>
      <c r="V178" s="11"/>
      <c r="W178" s="11"/>
      <c r="X178" s="11"/>
      <c r="Y178" s="11"/>
      <c r="Z178" s="11"/>
      <c r="AA178" s="11"/>
      <c r="AB178" s="11"/>
      <c r="AC178" s="11"/>
      <c r="AD178" s="11"/>
      <c r="AE178" s="11"/>
      <c r="AF178" s="11"/>
      <c r="AG178" s="11"/>
      <c r="AH178" s="11"/>
      <c r="AI178" s="11"/>
      <c r="AJ178" s="11"/>
      <c r="AK178" s="11"/>
      <c r="AL178" s="11"/>
    </row>
    <row r="179" spans="1:38" ht="17.25" customHeight="1" thickBot="1" x14ac:dyDescent="0.3">
      <c r="A179" s="144" t="s">
        <v>164</v>
      </c>
      <c r="B179" s="145" t="s">
        <v>128</v>
      </c>
      <c r="C179" s="304" t="s">
        <v>165</v>
      </c>
      <c r="D179" s="305"/>
      <c r="E179" s="430" t="s">
        <v>166</v>
      </c>
      <c r="F179" s="430"/>
      <c r="G179" s="146" t="s">
        <v>167</v>
      </c>
      <c r="H179" s="10"/>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row>
    <row r="180" spans="1:38" ht="17.25" customHeight="1" x14ac:dyDescent="0.25">
      <c r="A180" s="79" t="e">
        <f>IF(S159="","",TEXT(DATE(YEAR(BarselsfondenTilskud!$L$31), S159, 1), "mmmm"))</f>
        <v>#VALUE!</v>
      </c>
      <c r="B180" s="215"/>
      <c r="C180" s="319"/>
      <c r="D180" s="316"/>
      <c r="E180" s="355" t="e">
        <f t="shared" ref="E180:E191" si="23">IF(S159="",0,
          IF(Z159,G180,
               IF(AND(V159,NOT(U159)),G180,
                    IF(AND(V159,U159),T159,0))))+IF(S159="",0,IF(NOT(Z159),Y159,0))+IF(S159="",0,IF(NOT(Z159),AA159,0))</f>
        <v>#VALUE!</v>
      </c>
      <c r="F180" s="355"/>
      <c r="G180" s="147">
        <f>IF(S159="","",IF(ISNUMBER(B180),B180,BarselsfondenTilskud!$K$46))</f>
        <v>0</v>
      </c>
      <c r="H180" s="10"/>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row>
    <row r="181" spans="1:38" ht="17.25" customHeight="1" x14ac:dyDescent="0.25">
      <c r="A181" s="79" t="e">
        <f>IF(S160="","",TEXT(DATE(YEAR(BarselsfondenTilskud!$L$31), S160, 1), "mmmm"))</f>
        <v>#VALUE!</v>
      </c>
      <c r="B181" s="215"/>
      <c r="C181" s="319"/>
      <c r="D181" s="316"/>
      <c r="E181" s="355" t="e">
        <f t="shared" si="23"/>
        <v>#VALUE!</v>
      </c>
      <c r="F181" s="355"/>
      <c r="G181" s="147" t="e">
        <f>IF(S160="","",IF(ISNUMBER(B181),B181,BarselsfondenTilskud!$K$46))</f>
        <v>#VALUE!</v>
      </c>
      <c r="H181" s="10"/>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row>
    <row r="182" spans="1:38" ht="17.25" customHeight="1" x14ac:dyDescent="0.25">
      <c r="A182" s="79" t="e">
        <f>IF(S161="","",TEXT(DATE(YEAR(BarselsfondenTilskud!$L$31), S161, 1), "mmmm"))</f>
        <v>#VALUE!</v>
      </c>
      <c r="B182" s="215"/>
      <c r="C182" s="319"/>
      <c r="D182" s="316"/>
      <c r="E182" s="355" t="e">
        <f t="shared" si="23"/>
        <v>#VALUE!</v>
      </c>
      <c r="F182" s="355"/>
      <c r="G182" s="147" t="e">
        <f>IF(S161="","",IF(ISNUMBER(B182),B182,BarselsfondenTilskud!$K$46))</f>
        <v>#VALUE!</v>
      </c>
      <c r="H182" s="10"/>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row>
    <row r="183" spans="1:38" ht="17.25" customHeight="1" x14ac:dyDescent="0.25">
      <c r="A183" s="79" t="e">
        <f>IF(S162="","",TEXT(DATE(YEAR(BarselsfondenTilskud!$L$31), S162, 1), "mmmm"))</f>
        <v>#VALUE!</v>
      </c>
      <c r="B183" s="216"/>
      <c r="C183" s="319"/>
      <c r="D183" s="316"/>
      <c r="E183" s="355" t="e">
        <f t="shared" si="23"/>
        <v>#VALUE!</v>
      </c>
      <c r="F183" s="355"/>
      <c r="G183" s="147" t="e">
        <f>IF(S162="","",IF(ISNUMBER(B183),B183,BarselsfondenTilskud!$K$46))</f>
        <v>#VALUE!</v>
      </c>
      <c r="H183" s="10"/>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row>
    <row r="184" spans="1:38" ht="17.25" customHeight="1" x14ac:dyDescent="0.25">
      <c r="A184" s="79" t="e">
        <f>IF(S163="","",TEXT(DATE(YEAR(BarselsfondenTilskud!$L$31), S163, 1), "mmmm"))</f>
        <v>#VALUE!</v>
      </c>
      <c r="B184" s="212"/>
      <c r="C184" s="319"/>
      <c r="D184" s="316"/>
      <c r="E184" s="355" t="e">
        <f t="shared" si="23"/>
        <v>#VALUE!</v>
      </c>
      <c r="F184" s="355"/>
      <c r="G184" s="147" t="e">
        <f>IF(S163="","",IF(ISNUMBER(B184),B184,BarselsfondenTilskud!$K$46))</f>
        <v>#VALUE!</v>
      </c>
      <c r="H184" s="10"/>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row>
    <row r="185" spans="1:38" ht="17.25" customHeight="1" x14ac:dyDescent="0.25">
      <c r="A185" s="79" t="e">
        <f>IF(S164="","",TEXT(DATE(YEAR(BarselsfondenTilskud!$L$31), S164, 1), "mmmm"))</f>
        <v>#VALUE!</v>
      </c>
      <c r="B185" s="212"/>
      <c r="C185" s="319"/>
      <c r="D185" s="316"/>
      <c r="E185" s="355" t="e">
        <f t="shared" si="23"/>
        <v>#VALUE!</v>
      </c>
      <c r="F185" s="355"/>
      <c r="G185" s="147" t="e">
        <f>IF(S164="","",IF(ISNUMBER(B185),B185,BarselsfondenTilskud!$K$46))</f>
        <v>#VALUE!</v>
      </c>
      <c r="H185" s="10"/>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row>
    <row r="186" spans="1:38" ht="17.25" customHeight="1" x14ac:dyDescent="0.25">
      <c r="A186" s="79" t="e">
        <f>IF(S165="","",TEXT(DATE(YEAR(BarselsfondenTilskud!$L$31), S165, 1), "mmmm"))</f>
        <v>#VALUE!</v>
      </c>
      <c r="B186" s="212"/>
      <c r="C186" s="319"/>
      <c r="D186" s="316"/>
      <c r="E186" s="355" t="e">
        <f t="shared" si="23"/>
        <v>#VALUE!</v>
      </c>
      <c r="F186" s="355"/>
      <c r="G186" s="147" t="e">
        <f>IF(S165="","",IF(ISNUMBER(B186),B186,BarselsfondenTilskud!$K$46))</f>
        <v>#VALUE!</v>
      </c>
      <c r="H186" s="10"/>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row>
    <row r="187" spans="1:38" ht="17.25" customHeight="1" x14ac:dyDescent="0.25">
      <c r="A187" s="79" t="e">
        <f>IF(S166="","",TEXT(DATE(YEAR(BarselsfondenTilskud!$L$31), S166, 1), "mmmm"))</f>
        <v>#VALUE!</v>
      </c>
      <c r="B187" s="212"/>
      <c r="C187" s="319"/>
      <c r="D187" s="316"/>
      <c r="E187" s="355" t="e">
        <f t="shared" si="23"/>
        <v>#VALUE!</v>
      </c>
      <c r="F187" s="355"/>
      <c r="G187" s="147" t="e">
        <f>IF(S166="","",IF(ISNUMBER(B187),B187,BarselsfondenTilskud!$K$46))</f>
        <v>#VALUE!</v>
      </c>
      <c r="H187" s="10"/>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row>
    <row r="188" spans="1:38" ht="17.25" customHeight="1" x14ac:dyDescent="0.25">
      <c r="A188" s="79" t="e">
        <f>IF(S167="","",TEXT(DATE(YEAR(BarselsfondenTilskud!$L$31), S167, 1), "mmmm"))</f>
        <v>#VALUE!</v>
      </c>
      <c r="B188" s="212"/>
      <c r="C188" s="319"/>
      <c r="D188" s="316"/>
      <c r="E188" s="355" t="e">
        <f t="shared" si="23"/>
        <v>#VALUE!</v>
      </c>
      <c r="F188" s="355"/>
      <c r="G188" s="147" t="e">
        <f>IF(S167="","",IF(ISNUMBER(B188),B188,BarselsfondenTilskud!$K$46))</f>
        <v>#VALUE!</v>
      </c>
      <c r="H188" s="10"/>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row>
    <row r="189" spans="1:38" ht="17.25" customHeight="1" x14ac:dyDescent="0.25">
      <c r="A189" s="79" t="e">
        <f>IF(S168="","",TEXT(DATE(YEAR(BarselsfondenTilskud!$L$31), S168, 1), "mmmm"))</f>
        <v>#VALUE!</v>
      </c>
      <c r="B189" s="212"/>
      <c r="C189" s="319"/>
      <c r="D189" s="316"/>
      <c r="E189" s="355" t="e">
        <f t="shared" si="23"/>
        <v>#VALUE!</v>
      </c>
      <c r="F189" s="355"/>
      <c r="G189" s="147" t="e">
        <f>IF(S168="","",IF(ISNUMBER(B189),B189,BarselsfondenTilskud!$K$46))</f>
        <v>#VALUE!</v>
      </c>
      <c r="H189" s="10"/>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row>
    <row r="190" spans="1:38" ht="17.25" customHeight="1" x14ac:dyDescent="0.25">
      <c r="A190" s="79" t="e">
        <f>IF(S169="","",TEXT(DATE(YEAR(BarselsfondenTilskud!$L$31), S169, 1), "mmmm"))</f>
        <v>#VALUE!</v>
      </c>
      <c r="B190" s="212"/>
      <c r="C190" s="319"/>
      <c r="D190" s="316"/>
      <c r="E190" s="355" t="e">
        <f t="shared" si="23"/>
        <v>#VALUE!</v>
      </c>
      <c r="F190" s="355"/>
      <c r="G190" s="147" t="e">
        <f>IF(S169="","",IF(ISNUMBER(B190),B190,BarselsfondenTilskud!$K$46))</f>
        <v>#VALUE!</v>
      </c>
      <c r="H190" s="10"/>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row>
    <row r="191" spans="1:38" ht="17.25" customHeight="1" x14ac:dyDescent="0.25">
      <c r="A191" s="79" t="e">
        <f>IF(S170="","",TEXT(DATE(YEAR(BarselsfondenTilskud!$L$31), S170, 1), "mmmm"))</f>
        <v>#VALUE!</v>
      </c>
      <c r="B191" s="212"/>
      <c r="C191" s="315"/>
      <c r="D191" s="316"/>
      <c r="E191" s="355" t="e">
        <f t="shared" si="23"/>
        <v>#VALUE!</v>
      </c>
      <c r="F191" s="355"/>
      <c r="G191" s="147" t="e">
        <f>IF(S170="","",IF(ISNUMBER(B191),B191,BarselsfondenTilskud!$K$46))</f>
        <v>#VALUE!</v>
      </c>
      <c r="H191" s="10"/>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row>
    <row r="192" spans="1:38" ht="17.25" customHeight="1" thickBot="1" x14ac:dyDescent="0.3">
      <c r="A192" s="148" t="s">
        <v>168</v>
      </c>
      <c r="B192" s="149"/>
      <c r="C192" s="149"/>
      <c r="D192" s="150"/>
      <c r="E192" s="392" t="e">
        <f>SUM(E180:E191)</f>
        <v>#VALUE!</v>
      </c>
      <c r="F192" s="392"/>
      <c r="G192" s="151"/>
      <c r="H192" s="10"/>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row>
    <row r="193" spans="1:38" ht="17.25" customHeight="1" thickTop="1" x14ac:dyDescent="0.25">
      <c r="A193" s="23"/>
      <c r="B193" s="12"/>
      <c r="C193" s="12"/>
      <c r="D193" s="12"/>
      <c r="E193" s="12"/>
      <c r="F193" s="12"/>
      <c r="G193" s="74"/>
      <c r="H193" s="10"/>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row>
    <row r="194" spans="1:38" ht="17.25" customHeight="1" thickBot="1" x14ac:dyDescent="0.3">
      <c r="A194" s="33"/>
      <c r="B194" s="10"/>
      <c r="C194" s="10"/>
      <c r="D194" s="10"/>
      <c r="E194" s="10"/>
      <c r="F194" s="10"/>
      <c r="G194" s="24"/>
      <c r="H194" s="10"/>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row>
    <row r="195" spans="1:38" ht="17.25" customHeight="1" x14ac:dyDescent="0.25">
      <c r="A195" s="396" t="e" cm="1">
        <f t="array" ref="A195">IF(G78&lt;&gt;E31,"Obs: Barselsperioden starter ikke 8 uger før forventet fødsel.",
      IF(OR(BarselsfondenTilskud!D40&gt;37,BarselsfondenTilskud!C180:C191&gt;37),"Bemærk at du kun  kan får kompensation for de første 37t",
           IF(G31&gt;D34,"Tjek om barselsperioden er korrekt og om du har valgt det rigtige køn","")))</f>
        <v>#VALUE!</v>
      </c>
      <c r="B195" s="397"/>
      <c r="C195" s="397"/>
      <c r="D195" s="397"/>
      <c r="E195" s="397"/>
      <c r="F195" s="397"/>
      <c r="G195" s="398"/>
      <c r="H195" s="10"/>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row>
    <row r="196" spans="1:38" ht="17.25" customHeight="1" x14ac:dyDescent="0.25">
      <c r="A196" s="320" t="e">
        <f>IF(AND(D23="Far / Medmor",(E170+L171)&gt;1),"Far / Medmor kan ikke have graviditetsgener","")</f>
        <v>#VALUE!</v>
      </c>
      <c r="B196" s="321"/>
      <c r="C196" s="321"/>
      <c r="D196" s="321"/>
      <c r="E196" s="321"/>
      <c r="F196" s="321"/>
      <c r="G196" s="322"/>
      <c r="H196" s="10"/>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row>
    <row r="197" spans="1:38" ht="17.25" customHeight="1" thickBot="1" x14ac:dyDescent="0.3">
      <c r="A197" s="393" t="s">
        <v>169</v>
      </c>
      <c r="B197" s="394"/>
      <c r="C197" s="394"/>
      <c r="D197" s="394"/>
      <c r="E197" s="394"/>
      <c r="F197" s="394"/>
      <c r="G197" s="395"/>
      <c r="H197" s="10"/>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row>
    <row r="198" spans="1:38" ht="17.25" customHeight="1" x14ac:dyDescent="0.25">
      <c r="A198" s="23"/>
      <c r="B198" s="12"/>
      <c r="C198" s="12"/>
      <c r="D198" s="12"/>
      <c r="E198" s="12"/>
      <c r="F198" s="12"/>
      <c r="G198" s="74"/>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row>
    <row r="199" spans="1:38" ht="17.25" customHeight="1" thickBot="1" x14ac:dyDescent="0.35">
      <c r="A199" s="418" t="s">
        <v>170</v>
      </c>
      <c r="B199" s="419"/>
      <c r="C199" s="419"/>
      <c r="D199" s="419"/>
      <c r="E199" s="419"/>
      <c r="F199" s="419"/>
      <c r="G199" s="420"/>
      <c r="H199" s="152"/>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row>
    <row r="200" spans="1:38" ht="17.25" customHeight="1" x14ac:dyDescent="0.25">
      <c r="A200" s="401" t="s">
        <v>171</v>
      </c>
      <c r="B200" s="402"/>
      <c r="C200" s="402"/>
      <c r="D200" s="402" t="s">
        <v>172</v>
      </c>
      <c r="E200" s="402"/>
      <c r="F200" s="402" t="s">
        <v>173</v>
      </c>
      <c r="G200" s="405"/>
      <c r="H200" s="153"/>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row>
    <row r="201" spans="1:38" ht="17.25" customHeight="1" thickBot="1" x14ac:dyDescent="0.35">
      <c r="A201" s="403" t="e">
        <f>IF(A202&lt;&gt;"","Fejlindtastning",E192)</f>
        <v>#VALUE!</v>
      </c>
      <c r="B201" s="404"/>
      <c r="C201" s="404"/>
      <c r="D201" s="404" t="e">
        <f>IF(A202&lt;&gt;"","Fejlindtastning",NyMetodeResultat)</f>
        <v>#VALUE!</v>
      </c>
      <c r="E201" s="404"/>
      <c r="F201" s="406" t="e">
        <f>IF(A201="","",ROUND(A201-D201,0))</f>
        <v>#VALUE!</v>
      </c>
      <c r="G201" s="407"/>
      <c r="H201" s="136"/>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row>
    <row r="202" spans="1:38" ht="17.25" customHeight="1" thickTop="1" x14ac:dyDescent="0.25">
      <c r="A202" s="408" t="e">
        <f>IF($N$62,"Der er overlap i perioderne",
IF(OR(ISBLANK(E31),ISBLANK(G31)),"Barselsperiode er ikke udfyldt korrekt",
IF(AND(D23="Far / Medmor",E170+L171&lt;&gt;0),"Far eller medmor kan ikke have graviditetsgenere, brug altid et nulstillet ark",
IF(AND(G31&lt;E31,NOT(ISBLANK(G31))),"sluttidspunktet er før starttidspunktet",
IF(AK171=TRUE,"Der er ansøgt om refusion for flere timer, end den pågældende MA arbejder",
IF(DiffMellemMetoderne&gt;3000,"Der noget galt",""))))))</f>
        <v>#VALUE!</v>
      </c>
      <c r="B202" s="409"/>
      <c r="C202" s="409"/>
      <c r="D202" s="409"/>
      <c r="E202" s="409"/>
      <c r="F202" s="409"/>
      <c r="G202" s="410"/>
      <c r="H202" s="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row>
    <row r="203" spans="1:38" ht="17.25" customHeight="1" x14ac:dyDescent="0.25">
      <c r="A203" s="411"/>
      <c r="B203" s="412"/>
      <c r="C203" s="412"/>
      <c r="D203" s="412"/>
      <c r="E203" s="412"/>
      <c r="F203" s="412"/>
      <c r="G203" s="413"/>
      <c r="H203" s="30"/>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row>
    <row r="204" spans="1:38" ht="17.25" customHeight="1" x14ac:dyDescent="0.25">
      <c r="A204" s="414"/>
      <c r="B204" s="415"/>
      <c r="C204" s="415"/>
      <c r="D204" s="415"/>
      <c r="E204" s="415"/>
      <c r="F204" s="415"/>
      <c r="G204" s="416"/>
      <c r="H204" s="30"/>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row>
    <row r="205" spans="1:38" ht="17.25" customHeight="1" x14ac:dyDescent="0.25">
      <c r="A205" s="53" t="s">
        <v>174</v>
      </c>
      <c r="B205" s="58"/>
      <c r="C205" s="58"/>
      <c r="D205" s="58"/>
      <c r="E205" s="58"/>
      <c r="F205" s="58"/>
      <c r="G205" s="59"/>
      <c r="H205" s="30"/>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row>
    <row r="206" spans="1:38" ht="17.25" customHeight="1" x14ac:dyDescent="0.25">
      <c r="A206" s="286" t="s">
        <v>175</v>
      </c>
      <c r="B206" s="287"/>
      <c r="C206" s="287"/>
      <c r="D206" s="287"/>
      <c r="E206" s="287"/>
      <c r="F206" s="287"/>
      <c r="G206" s="288"/>
      <c r="H206" s="30"/>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row>
    <row r="207" spans="1:38" ht="17.25" customHeight="1" x14ac:dyDescent="0.25">
      <c r="A207" s="289"/>
      <c r="B207" s="290"/>
      <c r="C207" s="290"/>
      <c r="D207" s="290"/>
      <c r="E207" s="290"/>
      <c r="F207" s="290"/>
      <c r="G207" s="291"/>
      <c r="H207" s="30"/>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row>
    <row r="208" spans="1:38" ht="17.25" customHeight="1" x14ac:dyDescent="0.25">
      <c r="A208" s="289"/>
      <c r="B208" s="290"/>
      <c r="C208" s="290"/>
      <c r="D208" s="290"/>
      <c r="E208" s="290"/>
      <c r="F208" s="290"/>
      <c r="G208" s="291"/>
      <c r="H208" s="30"/>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row>
    <row r="209" spans="1:38" ht="17.25" customHeight="1" x14ac:dyDescent="0.25">
      <c r="A209" s="289"/>
      <c r="B209" s="290"/>
      <c r="C209" s="290"/>
      <c r="D209" s="290"/>
      <c r="E209" s="290"/>
      <c r="F209" s="290"/>
      <c r="G209" s="291"/>
      <c r="H209" s="154"/>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row>
    <row r="210" spans="1:38" ht="17.25" customHeight="1" x14ac:dyDescent="0.25">
      <c r="A210" s="289"/>
      <c r="B210" s="290"/>
      <c r="C210" s="290"/>
      <c r="D210" s="290"/>
      <c r="E210" s="290"/>
      <c r="F210" s="290"/>
      <c r="G210" s="291"/>
      <c r="H210" s="154"/>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row>
    <row r="211" spans="1:38" ht="17.25" customHeight="1" x14ac:dyDescent="0.25">
      <c r="A211" s="289"/>
      <c r="B211" s="290"/>
      <c r="C211" s="290"/>
      <c r="D211" s="290"/>
      <c r="E211" s="290"/>
      <c r="F211" s="290"/>
      <c r="G211" s="291"/>
      <c r="H211" s="154"/>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row>
    <row r="212" spans="1:38" ht="17.25" customHeight="1" x14ac:dyDescent="0.25">
      <c r="A212" s="292"/>
      <c r="B212" s="293"/>
      <c r="C212" s="293"/>
      <c r="D212" s="293"/>
      <c r="E212" s="293"/>
      <c r="F212" s="293"/>
      <c r="G212" s="294"/>
      <c r="H212" s="154"/>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row>
    <row r="213" spans="1:38" ht="17.25" customHeight="1" x14ac:dyDescent="0.25">
      <c r="A213" s="295" t="s">
        <v>176</v>
      </c>
      <c r="B213" s="296"/>
      <c r="C213" s="296"/>
      <c r="D213" s="296"/>
      <c r="E213" s="296"/>
      <c r="F213" s="296"/>
      <c r="G213" s="297"/>
      <c r="H213" s="154"/>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row>
    <row r="214" spans="1:38" ht="17.25" customHeight="1" x14ac:dyDescent="0.25">
      <c r="A214" s="389" t="s">
        <v>177</v>
      </c>
      <c r="B214" s="390"/>
      <c r="C214" s="390"/>
      <c r="D214" s="390"/>
      <c r="E214" s="390"/>
      <c r="F214" s="390"/>
      <c r="G214" s="391"/>
      <c r="H214" s="154"/>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row>
    <row r="215" spans="1:38" ht="17.25" customHeight="1" x14ac:dyDescent="0.25">
      <c r="A215" s="23"/>
      <c r="B215" s="12"/>
      <c r="C215" s="12"/>
      <c r="D215" s="12"/>
      <c r="E215" s="12"/>
      <c r="F215" s="12"/>
      <c r="G215" s="74"/>
      <c r="H215" s="154"/>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row>
    <row r="216" spans="1:38" ht="17.25" customHeight="1" x14ac:dyDescent="0.25">
      <c r="A216" s="23"/>
      <c r="B216" s="12"/>
      <c r="C216" s="12"/>
      <c r="D216" s="12"/>
      <c r="E216" s="12"/>
      <c r="F216" s="12"/>
      <c r="G216" s="74"/>
      <c r="H216" s="154"/>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row>
    <row r="217" spans="1:38" ht="17.25" customHeight="1" x14ac:dyDescent="0.25">
      <c r="A217" s="23"/>
      <c r="B217" s="12"/>
      <c r="C217" s="12"/>
      <c r="D217" s="12"/>
      <c r="E217" s="12"/>
      <c r="F217" s="12"/>
      <c r="G217" s="74"/>
      <c r="H217" s="63"/>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row>
    <row r="218" spans="1:38" ht="17.25" customHeight="1" x14ac:dyDescent="0.25">
      <c r="A218" s="23"/>
      <c r="B218" s="12"/>
      <c r="C218" s="12"/>
      <c r="D218" s="12"/>
      <c r="E218" s="12"/>
      <c r="F218" s="12"/>
      <c r="G218" s="74"/>
      <c r="H218" s="10"/>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row>
    <row r="219" spans="1:38" ht="17.25" customHeight="1" x14ac:dyDescent="0.25">
      <c r="A219" s="33"/>
      <c r="B219" s="10"/>
      <c r="C219" s="10"/>
      <c r="D219" s="10"/>
      <c r="E219" s="10"/>
      <c r="F219" s="10"/>
      <c r="G219" s="24"/>
      <c r="H219" s="10"/>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row>
    <row r="220" spans="1:38" ht="17.25" customHeight="1" x14ac:dyDescent="0.25">
      <c r="A220" s="33"/>
      <c r="B220" s="10"/>
      <c r="C220" s="10"/>
      <c r="D220" s="10"/>
      <c r="E220" s="10"/>
      <c r="F220" s="10"/>
      <c r="G220" s="24"/>
      <c r="H220" s="10"/>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row>
    <row r="221" spans="1:38" ht="17.25" customHeight="1" x14ac:dyDescent="0.25">
      <c r="A221" s="33"/>
      <c r="B221" s="10"/>
      <c r="C221" s="10"/>
      <c r="D221" s="10"/>
      <c r="E221" s="10"/>
      <c r="F221" s="10"/>
      <c r="G221" s="24"/>
      <c r="H221" s="10"/>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row>
    <row r="222" spans="1:38" ht="17.25" customHeight="1" x14ac:dyDescent="0.25">
      <c r="A222" s="33"/>
      <c r="B222" s="10"/>
      <c r="C222" s="10"/>
      <c r="D222" s="10"/>
      <c r="E222" s="10"/>
      <c r="F222" s="10"/>
      <c r="G222" s="24"/>
      <c r="H222" s="10"/>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row>
    <row r="223" spans="1:38" ht="17.25" customHeight="1" x14ac:dyDescent="0.25">
      <c r="A223" s="33"/>
      <c r="B223" s="10"/>
      <c r="C223" s="10"/>
      <c r="D223" s="10"/>
      <c r="E223" s="10"/>
      <c r="F223" s="10"/>
      <c r="G223" s="24"/>
      <c r="H223" s="10"/>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row>
    <row r="224" spans="1:38" ht="17.25" customHeight="1" x14ac:dyDescent="0.25">
      <c r="A224" s="33"/>
      <c r="B224" s="10"/>
      <c r="C224" s="10"/>
      <c r="D224" s="10"/>
      <c r="E224" s="10"/>
      <c r="F224" s="10"/>
      <c r="G224" s="24"/>
      <c r="H224" s="10"/>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row>
    <row r="225" spans="1:63" ht="17.25" customHeight="1" x14ac:dyDescent="0.25">
      <c r="A225" s="33"/>
      <c r="B225" s="10"/>
      <c r="C225" s="10"/>
      <c r="D225" s="10"/>
      <c r="E225" s="10"/>
      <c r="F225" s="10"/>
      <c r="G225" s="24"/>
      <c r="H225" s="10"/>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row>
    <row r="226" spans="1:63" ht="17.25" customHeight="1" x14ac:dyDescent="0.25">
      <c r="A226" s="33"/>
      <c r="B226" s="10"/>
      <c r="C226" s="10"/>
      <c r="D226" s="10"/>
      <c r="E226" s="10"/>
      <c r="F226" s="10"/>
      <c r="G226" s="24"/>
      <c r="H226" s="10"/>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row>
    <row r="227" spans="1:63" ht="17.25" customHeight="1" x14ac:dyDescent="0.25">
      <c r="A227" s="33"/>
      <c r="B227" s="10"/>
      <c r="C227" s="10"/>
      <c r="D227" s="10"/>
      <c r="E227" s="10"/>
      <c r="F227" s="10"/>
      <c r="G227" s="24"/>
      <c r="H227" s="10"/>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row>
    <row r="228" spans="1:63" ht="17.25" customHeight="1" x14ac:dyDescent="0.25">
      <c r="A228" s="33"/>
      <c r="B228" s="10"/>
      <c r="C228" s="10"/>
      <c r="D228" s="10"/>
      <c r="E228" s="10"/>
      <c r="F228" s="10"/>
      <c r="G228" s="24"/>
      <c r="H228" s="10"/>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row>
    <row r="229" spans="1:63" ht="17.25" customHeight="1" x14ac:dyDescent="0.25">
      <c r="A229" s="33"/>
      <c r="B229" s="10"/>
      <c r="C229" s="10"/>
      <c r="D229" s="10"/>
      <c r="E229" s="10"/>
      <c r="F229" s="10"/>
      <c r="G229" s="24"/>
      <c r="H229" s="10"/>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row>
    <row r="230" spans="1:63" ht="17.25" customHeight="1" x14ac:dyDescent="0.25">
      <c r="A230" s="33"/>
      <c r="B230" s="10"/>
      <c r="C230" s="10"/>
      <c r="D230" s="10"/>
      <c r="E230" s="10"/>
      <c r="F230" s="10"/>
      <c r="G230" s="24"/>
      <c r="H230" s="10"/>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row>
    <row r="231" spans="1:63" ht="17.25" customHeight="1" x14ac:dyDescent="0.25">
      <c r="A231" s="33"/>
      <c r="B231" s="10"/>
      <c r="C231" s="10"/>
      <c r="D231" s="10"/>
      <c r="E231" s="10"/>
      <c r="F231" s="10"/>
      <c r="G231" s="24"/>
      <c r="H231" s="10"/>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row>
    <row r="232" spans="1:63" ht="17.25" customHeight="1" x14ac:dyDescent="0.25">
      <c r="A232" s="33"/>
      <c r="B232" s="10"/>
      <c r="C232" s="10"/>
      <c r="D232" s="10"/>
      <c r="E232" s="10"/>
      <c r="F232" s="10"/>
      <c r="G232" s="24"/>
      <c r="H232" s="10"/>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row>
    <row r="233" spans="1:63" ht="17.25" customHeight="1" x14ac:dyDescent="0.25">
      <c r="A233" s="33"/>
      <c r="B233" s="10"/>
      <c r="C233" s="10"/>
      <c r="D233" s="10"/>
      <c r="E233" s="10"/>
      <c r="F233" s="10"/>
      <c r="G233" s="24"/>
      <c r="H233" s="10"/>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row>
    <row r="234" spans="1:63" ht="17.25" customHeight="1" x14ac:dyDescent="0.25">
      <c r="A234" s="33"/>
      <c r="B234" s="10"/>
      <c r="C234" s="10"/>
      <c r="D234" s="10"/>
      <c r="E234" s="10"/>
      <c r="F234" s="10"/>
      <c r="G234" s="24"/>
      <c r="H234" s="10"/>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row>
    <row r="235" spans="1:63" ht="17.25" customHeight="1" x14ac:dyDescent="0.25">
      <c r="A235" s="33"/>
      <c r="B235" s="10"/>
      <c r="C235" s="10"/>
      <c r="D235" s="10"/>
      <c r="E235" s="10"/>
      <c r="F235" s="10"/>
      <c r="G235" s="24"/>
      <c r="H235" s="10"/>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row>
    <row r="236" spans="1:63" ht="17.25" customHeight="1" x14ac:dyDescent="0.25">
      <c r="A236" s="33"/>
      <c r="B236" s="10"/>
      <c r="C236" s="10"/>
      <c r="D236" s="10"/>
      <c r="E236" s="10"/>
      <c r="F236" s="10"/>
      <c r="G236" s="24"/>
      <c r="H236" s="10"/>
      <c r="I236" s="11"/>
      <c r="J236" s="11"/>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row>
    <row r="237" spans="1:63" ht="17.25" customHeight="1" x14ac:dyDescent="0.25">
      <c r="A237" s="33"/>
      <c r="B237" s="10"/>
      <c r="C237" s="10"/>
      <c r="D237" s="10"/>
      <c r="E237" s="10"/>
      <c r="F237" s="10"/>
      <c r="G237" s="24"/>
      <c r="H237" s="10"/>
      <c r="I237" s="11"/>
      <c r="J237" s="11"/>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row>
    <row r="238" spans="1:63" ht="17.25" customHeight="1" x14ac:dyDescent="0.25">
      <c r="A238" s="33"/>
      <c r="B238" s="10"/>
      <c r="C238" s="10"/>
      <c r="D238" s="10"/>
      <c r="E238" s="10"/>
      <c r="F238" s="10"/>
      <c r="G238" s="24"/>
      <c r="H238" s="10"/>
      <c r="I238" s="11"/>
      <c r="J238" s="11"/>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row>
    <row r="239" spans="1:63" ht="17.25" customHeight="1" x14ac:dyDescent="0.25">
      <c r="A239" s="33"/>
      <c r="B239" s="10"/>
      <c r="C239" s="10"/>
      <c r="D239" s="10"/>
      <c r="E239" s="10"/>
      <c r="F239" s="10"/>
      <c r="G239" s="24"/>
      <c r="H239" s="10"/>
      <c r="I239" s="11"/>
      <c r="J239" s="11"/>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row>
    <row r="240" spans="1:63" ht="17.25" customHeight="1" x14ac:dyDescent="0.25">
      <c r="A240" s="33"/>
      <c r="B240" s="10"/>
      <c r="C240" s="10"/>
      <c r="D240" s="10"/>
      <c r="E240" s="10"/>
      <c r="F240" s="10"/>
      <c r="G240" s="24"/>
      <c r="H240" s="10"/>
      <c r="I240" s="11"/>
      <c r="J240" s="11"/>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row>
    <row r="241" spans="1:63" ht="17.25" customHeight="1" x14ac:dyDescent="0.25">
      <c r="A241" s="33"/>
      <c r="B241" s="10"/>
      <c r="C241" s="10"/>
      <c r="D241" s="10"/>
      <c r="E241" s="10"/>
      <c r="F241" s="10"/>
      <c r="G241" s="24"/>
      <c r="H241" s="10"/>
      <c r="I241" s="11"/>
      <c r="J241" s="11"/>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2"/>
      <c r="AN241" s="12"/>
      <c r="AO241" s="12"/>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row>
    <row r="242" spans="1:63" ht="17.25" customHeight="1" x14ac:dyDescent="0.25">
      <c r="A242" s="33"/>
      <c r="B242" s="10"/>
      <c r="C242" s="10"/>
      <c r="D242" s="10"/>
      <c r="E242" s="10"/>
      <c r="F242" s="10"/>
      <c r="G242" s="24"/>
      <c r="H242" s="10"/>
      <c r="I242" s="11"/>
      <c r="J242" s="11"/>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2"/>
      <c r="AN242" s="12"/>
      <c r="AO242" s="12"/>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row>
    <row r="243" spans="1:63" ht="17.25" customHeight="1" x14ac:dyDescent="0.25">
      <c r="A243" s="33"/>
      <c r="B243" s="10"/>
      <c r="C243" s="10"/>
      <c r="D243" s="10"/>
      <c r="E243" s="10"/>
      <c r="F243" s="10"/>
      <c r="G243" s="24"/>
      <c r="H243" s="10"/>
      <c r="I243" s="11"/>
      <c r="J243" s="11"/>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row>
    <row r="244" spans="1:63" ht="17.25" customHeight="1" x14ac:dyDescent="0.25">
      <c r="A244" s="33"/>
      <c r="B244" s="10"/>
      <c r="C244" s="10"/>
      <c r="D244" s="10"/>
      <c r="E244" s="10"/>
      <c r="F244" s="10"/>
      <c r="G244" s="24"/>
      <c r="H244" s="10"/>
      <c r="I244" s="11"/>
      <c r="J244" s="11"/>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row>
    <row r="245" spans="1:63" ht="17.25" customHeight="1" x14ac:dyDescent="0.25">
      <c r="A245" s="33"/>
      <c r="B245" s="10"/>
      <c r="C245" s="10"/>
      <c r="D245" s="10"/>
      <c r="E245" s="10"/>
      <c r="F245" s="10"/>
      <c r="G245" s="24"/>
      <c r="H245" s="10"/>
      <c r="I245" s="11"/>
      <c r="J245" s="11"/>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row>
    <row r="246" spans="1:63" ht="17.25" customHeight="1" x14ac:dyDescent="0.25">
      <c r="A246" s="33"/>
      <c r="B246" s="10"/>
      <c r="C246" s="10"/>
      <c r="D246" s="10"/>
      <c r="E246" s="10"/>
      <c r="F246" s="10"/>
      <c r="G246" s="24"/>
      <c r="H246" s="10"/>
      <c r="I246" s="11"/>
      <c r="J246" s="11"/>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row>
    <row r="247" spans="1:63" ht="17.25" customHeight="1" x14ac:dyDescent="0.25">
      <c r="A247" s="33"/>
      <c r="B247" s="10"/>
      <c r="C247" s="10"/>
      <c r="D247" s="10"/>
      <c r="E247" s="10"/>
      <c r="F247" s="10"/>
      <c r="G247" s="24"/>
      <c r="H247" s="10"/>
      <c r="I247" s="11"/>
      <c r="J247" s="11"/>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row>
    <row r="248" spans="1:63" ht="17.25" customHeight="1" x14ac:dyDescent="0.25">
      <c r="A248" s="33"/>
      <c r="B248" s="10"/>
      <c r="C248" s="10"/>
      <c r="D248" s="10"/>
      <c r="E248" s="10"/>
      <c r="F248" s="10"/>
      <c r="G248" s="24"/>
      <c r="H248" s="10"/>
      <c r="I248" s="11"/>
      <c r="J248" s="11"/>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2"/>
      <c r="AN248" s="12"/>
      <c r="AO248" s="12"/>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row>
    <row r="249" spans="1:63" ht="17.25" customHeight="1" x14ac:dyDescent="0.25">
      <c r="A249" s="33"/>
      <c r="B249" s="10"/>
      <c r="C249" s="10"/>
      <c r="D249" s="10"/>
      <c r="E249" s="10"/>
      <c r="F249" s="10"/>
      <c r="G249" s="24"/>
      <c r="H249" s="10"/>
      <c r="I249" s="11"/>
      <c r="J249" s="11"/>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2"/>
      <c r="AN249" s="12"/>
      <c r="AO249" s="12"/>
      <c r="AP249" s="12"/>
      <c r="AQ249" s="12"/>
      <c r="AR249" s="12"/>
      <c r="AS249" s="12"/>
      <c r="AT249" s="12"/>
      <c r="AU249" s="12"/>
      <c r="AV249" s="12"/>
      <c r="AW249" s="12"/>
      <c r="AX249" s="12"/>
      <c r="AY249" s="12"/>
      <c r="AZ249" s="12"/>
      <c r="BA249" s="12"/>
      <c r="BB249" s="12"/>
      <c r="BC249" s="12"/>
      <c r="BD249" s="12"/>
      <c r="BE249" s="12"/>
      <c r="BF249" s="12"/>
      <c r="BG249" s="12"/>
      <c r="BH249" s="12"/>
      <c r="BI249" s="12"/>
      <c r="BJ249" s="12"/>
      <c r="BK249" s="12"/>
    </row>
    <row r="250" spans="1:63" ht="17.25" customHeight="1" x14ac:dyDescent="0.25">
      <c r="A250" s="33"/>
      <c r="B250" s="10"/>
      <c r="C250" s="10"/>
      <c r="D250" s="10"/>
      <c r="E250" s="10"/>
      <c r="F250" s="10"/>
      <c r="G250" s="24"/>
      <c r="H250" s="10"/>
      <c r="I250" s="11"/>
      <c r="J250" s="11"/>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2"/>
      <c r="AN250" s="12"/>
      <c r="AO250" s="12"/>
      <c r="AP250" s="12"/>
      <c r="AQ250" s="12"/>
      <c r="AR250" s="12"/>
      <c r="AS250" s="12"/>
      <c r="AT250" s="12"/>
      <c r="AU250" s="12"/>
      <c r="AV250" s="12"/>
      <c r="AW250" s="12"/>
      <c r="AX250" s="12"/>
      <c r="AY250" s="12"/>
      <c r="AZ250" s="12"/>
      <c r="BA250" s="12"/>
      <c r="BB250" s="12"/>
      <c r="BC250" s="12"/>
      <c r="BD250" s="12"/>
      <c r="BE250" s="12"/>
      <c r="BF250" s="12"/>
      <c r="BG250" s="12"/>
      <c r="BH250" s="12"/>
      <c r="BI250" s="12"/>
      <c r="BJ250" s="12"/>
      <c r="BK250" s="12"/>
    </row>
    <row r="251" spans="1:63" ht="17.25" customHeight="1" x14ac:dyDescent="0.25">
      <c r="A251" s="33"/>
      <c r="B251" s="10"/>
      <c r="C251" s="10"/>
      <c r="D251" s="10"/>
      <c r="E251" s="10"/>
      <c r="F251" s="10"/>
      <c r="G251" s="24"/>
      <c r="H251" s="10"/>
      <c r="I251" s="11"/>
      <c r="J251" s="11"/>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2"/>
      <c r="AN251" s="12"/>
      <c r="AO251" s="12"/>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row>
    <row r="252" spans="1:63" ht="17.25" customHeight="1" x14ac:dyDescent="0.25">
      <c r="A252" s="33"/>
      <c r="B252" s="10"/>
      <c r="C252" s="10"/>
      <c r="D252" s="10"/>
      <c r="E252" s="10"/>
      <c r="F252" s="10"/>
      <c r="G252" s="24"/>
      <c r="H252" s="10"/>
      <c r="I252" s="11"/>
      <c r="J252" s="11"/>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2"/>
      <c r="AN252" s="12"/>
      <c r="AO252" s="12"/>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row>
    <row r="253" spans="1:63" ht="17.25" customHeight="1" x14ac:dyDescent="0.25">
      <c r="A253" s="33"/>
      <c r="B253" s="10"/>
      <c r="C253" s="10"/>
      <c r="D253" s="10"/>
      <c r="E253" s="10"/>
      <c r="F253" s="10"/>
      <c r="G253" s="24"/>
      <c r="H253" s="10"/>
      <c r="I253" s="11"/>
      <c r="J253" s="11"/>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2"/>
      <c r="AN253" s="12"/>
      <c r="AO253" s="12"/>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row>
    <row r="254" spans="1:63" ht="17.25" customHeight="1" x14ac:dyDescent="0.25">
      <c r="A254" s="33"/>
      <c r="B254" s="10"/>
      <c r="C254" s="10"/>
      <c r="D254" s="10"/>
      <c r="E254" s="10"/>
      <c r="F254" s="10"/>
      <c r="G254" s="24"/>
      <c r="H254" s="10"/>
      <c r="I254" s="11"/>
      <c r="J254" s="11"/>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row>
    <row r="255" spans="1:63" ht="17.25" customHeight="1" x14ac:dyDescent="0.25">
      <c r="A255" s="33"/>
      <c r="B255" s="10"/>
      <c r="C255" s="10"/>
      <c r="D255" s="10"/>
      <c r="E255" s="10"/>
      <c r="F255" s="10"/>
      <c r="G255" s="24"/>
      <c r="H255" s="10"/>
      <c r="I255" s="11"/>
      <c r="J255" s="11"/>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2"/>
      <c r="AN255" s="12"/>
      <c r="AO255" s="12"/>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row>
    <row r="256" spans="1:63" ht="17.25" customHeight="1" x14ac:dyDescent="0.25">
      <c r="A256" s="248" t="s">
        <v>178</v>
      </c>
      <c r="B256" s="249"/>
      <c r="C256" s="249"/>
      <c r="D256" s="249"/>
      <c r="E256" s="249"/>
      <c r="F256" s="249"/>
      <c r="G256" s="250"/>
    </row>
    <row r="257" spans="1:25" ht="17.25" customHeight="1" x14ac:dyDescent="0.25">
      <c r="A257" s="251"/>
      <c r="B257" s="249"/>
      <c r="C257" s="249"/>
      <c r="D257" s="249"/>
      <c r="E257" s="252" t="str">
        <f>$D$23</f>
        <v>Mor</v>
      </c>
      <c r="F257" s="249"/>
      <c r="G257" s="250"/>
    </row>
    <row r="258" spans="1:25" ht="17.25" customHeight="1" x14ac:dyDescent="0.25">
      <c r="A258" s="251" t="s">
        <v>179</v>
      </c>
      <c r="B258" s="249"/>
      <c r="C258" s="249"/>
      <c r="D258" s="249"/>
      <c r="E258" s="253" t="str">
        <f>$E$30</f>
        <v>xx-xx-xxxx</v>
      </c>
      <c r="F258" s="253">
        <f>$G$30</f>
        <v>0</v>
      </c>
      <c r="G258" s="250"/>
    </row>
    <row r="259" spans="1:25" ht="17.25" customHeight="1" x14ac:dyDescent="0.25">
      <c r="A259" s="251" t="s">
        <v>180</v>
      </c>
      <c r="B259" s="249"/>
      <c r="C259" s="249"/>
      <c r="D259" s="249"/>
      <c r="E259" s="253" t="e">
        <f>$B$102</f>
        <v>#VALUE!</v>
      </c>
      <c r="F259" s="253" t="str">
        <f>$D$101</f>
        <v>xx-xx-xxxx</v>
      </c>
      <c r="G259" s="250"/>
    </row>
    <row r="260" spans="1:25" ht="17.25" customHeight="1" x14ac:dyDescent="0.25">
      <c r="A260" s="251" t="s">
        <v>181</v>
      </c>
      <c r="B260" s="249"/>
      <c r="C260" s="249"/>
      <c r="D260" s="249"/>
      <c r="E260" s="254"/>
      <c r="F260" s="255" t="e">
        <f>DATEDIF(E259,F259,"d")/7</f>
        <v>#VALUE!</v>
      </c>
      <c r="G260" s="250"/>
    </row>
    <row r="261" spans="1:25" ht="17.25" customHeight="1" x14ac:dyDescent="0.25">
      <c r="A261" s="251" t="s">
        <v>182</v>
      </c>
      <c r="B261" s="249"/>
      <c r="C261" s="249"/>
      <c r="D261" s="249"/>
      <c r="E261" s="254"/>
      <c r="F261" s="252" t="str">
        <f>IF($E$32="Ja","Ja","Nej")</f>
        <v>Nej</v>
      </c>
      <c r="G261" s="250"/>
    </row>
    <row r="262" spans="1:25" ht="17.25" customHeight="1" x14ac:dyDescent="0.25">
      <c r="A262" s="251" t="s">
        <v>183</v>
      </c>
      <c r="B262" s="249"/>
      <c r="C262" s="249"/>
      <c r="D262" s="249"/>
      <c r="E262" s="254"/>
      <c r="F262" s="252">
        <f>$D$33</f>
        <v>0</v>
      </c>
      <c r="G262" s="250"/>
    </row>
    <row r="263" spans="1:25" ht="17.25" customHeight="1" x14ac:dyDescent="0.25">
      <c r="A263" s="251" t="s">
        <v>184</v>
      </c>
      <c r="B263" s="249"/>
      <c r="C263" s="256">
        <v>45383</v>
      </c>
      <c r="D263" s="249"/>
      <c r="E263" s="254"/>
      <c r="F263" s="252" t="str">
        <f>IF(ISBLANK($E$30),"Faktisk Fødsels er ikke udfyldt",IF(E30&gt;=C263,"Efter","Før"))</f>
        <v>Efter</v>
      </c>
      <c r="G263" s="250"/>
    </row>
    <row r="264" spans="1:25" ht="17.25" customHeight="1" x14ac:dyDescent="0.25">
      <c r="A264" s="251"/>
      <c r="B264" s="249"/>
      <c r="C264" s="249"/>
      <c r="D264" s="249"/>
      <c r="E264" s="249"/>
      <c r="F264" s="249"/>
      <c r="G264" s="250"/>
    </row>
    <row r="265" spans="1:25" ht="17.25" customHeight="1" x14ac:dyDescent="0.25">
      <c r="A265" s="251"/>
      <c r="B265" s="249"/>
      <c r="C265" s="249"/>
      <c r="D265" s="249"/>
      <c r="E265" s="249"/>
      <c r="F265" s="249"/>
      <c r="G265" s="250"/>
    </row>
    <row r="266" spans="1:25" ht="17.25" customHeight="1" x14ac:dyDescent="0.25">
      <c r="A266" s="257" t="s">
        <v>185</v>
      </c>
      <c r="B266" s="258"/>
      <c r="C266" s="259"/>
      <c r="D266" s="259"/>
      <c r="E266" s="259"/>
      <c r="F266" s="259"/>
      <c r="G266" s="260"/>
      <c r="H266" s="235"/>
      <c r="I266" s="226"/>
      <c r="J266" s="226"/>
      <c r="K266" s="236"/>
      <c r="L266" s="12"/>
      <c r="M266" s="12"/>
      <c r="N266" s="12"/>
      <c r="O266" s="12"/>
      <c r="P266" s="12"/>
      <c r="Q266" s="12"/>
      <c r="R266" s="12"/>
      <c r="S266" s="12"/>
      <c r="T266" s="12"/>
      <c r="U266" s="12"/>
      <c r="V266" s="12"/>
      <c r="W266" s="12"/>
      <c r="X266" s="12"/>
      <c r="Y266" s="12"/>
    </row>
    <row r="267" spans="1:25" ht="17.25" customHeight="1" x14ac:dyDescent="0.25">
      <c r="A267" s="261" t="s">
        <v>186</v>
      </c>
      <c r="B267" s="276">
        <f>B270-(13*7)+1</f>
        <v>-90</v>
      </c>
      <c r="C267" s="259"/>
      <c r="D267" s="259"/>
      <c r="E267" s="259"/>
      <c r="F267" s="259"/>
      <c r="G267" s="260"/>
      <c r="H267" s="235"/>
      <c r="I267" s="226"/>
      <c r="J267" s="226"/>
      <c r="K267" s="236"/>
      <c r="L267" s="12"/>
      <c r="M267" s="12"/>
      <c r="N267" s="12"/>
      <c r="O267" s="12"/>
      <c r="P267" s="12"/>
      <c r="Q267" s="12"/>
      <c r="R267" s="12"/>
      <c r="S267" s="12"/>
      <c r="T267" s="12"/>
      <c r="U267" s="12"/>
      <c r="V267" s="12"/>
      <c r="W267" s="12"/>
      <c r="X267" s="12"/>
      <c r="Y267" s="12"/>
    </row>
    <row r="268" spans="1:25" ht="17.25" customHeight="1" x14ac:dyDescent="0.25">
      <c r="A268" s="263" t="s">
        <v>187</v>
      </c>
      <c r="B268" s="276">
        <f>B270-(8*7)+1</f>
        <v>-55</v>
      </c>
      <c r="C268" s="259"/>
      <c r="D268" s="259"/>
      <c r="E268" s="259"/>
      <c r="F268" s="259"/>
      <c r="G268" s="260"/>
      <c r="H268" s="235"/>
      <c r="I268" s="226"/>
      <c r="J268" s="226"/>
      <c r="K268" s="236"/>
      <c r="L268" s="12"/>
      <c r="M268" s="12"/>
      <c r="N268" s="12"/>
      <c r="O268" s="12"/>
      <c r="P268" s="12"/>
      <c r="Q268" s="12"/>
      <c r="R268" s="12"/>
      <c r="S268" s="12"/>
      <c r="T268" s="12"/>
      <c r="U268" s="12"/>
      <c r="V268" s="12"/>
      <c r="W268" s="12"/>
      <c r="X268" s="12"/>
      <c r="Y268" s="12"/>
    </row>
    <row r="269" spans="1:25" ht="17.25" customHeight="1" x14ac:dyDescent="0.25">
      <c r="A269" s="263" t="s">
        <v>188</v>
      </c>
      <c r="B269" s="276">
        <f>B270+1-(4*7)</f>
        <v>-27</v>
      </c>
      <c r="C269" s="264"/>
      <c r="D269" s="226"/>
      <c r="E269" s="259"/>
      <c r="F269" s="259"/>
      <c r="G269" s="231"/>
      <c r="H269" s="236"/>
      <c r="I269" s="264"/>
      <c r="J269" s="226"/>
      <c r="K269" s="237"/>
      <c r="L269" s="12"/>
      <c r="M269" s="12"/>
      <c r="N269" s="12"/>
      <c r="O269" s="12"/>
      <c r="P269" s="12"/>
      <c r="Q269" s="12"/>
      <c r="R269" s="12"/>
      <c r="S269" s="12"/>
      <c r="T269" s="12"/>
      <c r="U269" s="12"/>
      <c r="V269" s="12"/>
      <c r="W269" s="12"/>
      <c r="X269" s="12"/>
      <c r="Y269" s="12"/>
    </row>
    <row r="270" spans="1:25" ht="17.25" customHeight="1" x14ac:dyDescent="0.25">
      <c r="A270" s="263" t="s">
        <v>189</v>
      </c>
      <c r="B270" s="265">
        <f>G30</f>
        <v>0</v>
      </c>
      <c r="K270" s="12"/>
      <c r="L270" s="12"/>
      <c r="M270" s="12"/>
      <c r="N270" s="12"/>
      <c r="O270" s="12"/>
      <c r="P270" s="12"/>
      <c r="Q270" s="12"/>
      <c r="R270" s="12"/>
      <c r="S270" s="12"/>
      <c r="T270" s="12"/>
      <c r="U270" s="12"/>
      <c r="V270" s="12"/>
      <c r="W270" s="12"/>
      <c r="X270" s="12"/>
      <c r="Y270" s="12"/>
    </row>
    <row r="271" spans="1:25" ht="17.25" customHeight="1" x14ac:dyDescent="0.25">
      <c r="A271" s="266" t="s">
        <v>190</v>
      </c>
      <c r="B271" s="267"/>
      <c r="K271" s="12"/>
      <c r="L271" s="12"/>
      <c r="M271" s="12"/>
      <c r="N271" s="12"/>
      <c r="O271" s="12"/>
      <c r="P271" s="12"/>
      <c r="Q271" s="12"/>
      <c r="R271" s="12"/>
      <c r="S271" s="12"/>
      <c r="T271" s="12"/>
      <c r="U271" s="12"/>
      <c r="V271" s="12"/>
      <c r="W271" s="12"/>
      <c r="X271" s="12"/>
      <c r="Y271" s="12"/>
    </row>
    <row r="272" spans="1:25" ht="17.25" customHeight="1" x14ac:dyDescent="0.25">
      <c r="A272" s="263" t="s">
        <v>191</v>
      </c>
      <c r="B272" s="262">
        <f>B270+(14*7)</f>
        <v>98</v>
      </c>
      <c r="C272" s="268"/>
      <c r="D272" s="226"/>
      <c r="E272" s="226"/>
      <c r="F272" s="226"/>
      <c r="G272" s="231"/>
      <c r="H272" s="236"/>
      <c r="I272" s="226"/>
      <c r="J272" s="226"/>
      <c r="K272" s="236"/>
      <c r="L272" s="12"/>
      <c r="M272" s="12"/>
      <c r="N272" s="12"/>
      <c r="O272" s="12"/>
      <c r="P272" s="12"/>
      <c r="Q272" s="12"/>
      <c r="R272" s="12"/>
      <c r="S272" s="12"/>
      <c r="T272" s="12"/>
      <c r="U272" s="12"/>
      <c r="V272" s="12"/>
      <c r="W272" s="12"/>
      <c r="X272" s="12"/>
      <c r="Y272" s="12"/>
    </row>
    <row r="273" spans="1:25" ht="17.25" customHeight="1" x14ac:dyDescent="0.25">
      <c r="A273" s="263" t="s">
        <v>192</v>
      </c>
      <c r="B273" s="262">
        <f>B270+(20*7)</f>
        <v>140</v>
      </c>
      <c r="C273" s="226"/>
      <c r="D273" s="226"/>
      <c r="E273" s="227"/>
      <c r="F273" s="227"/>
      <c r="G273" s="232"/>
      <c r="H273" s="238"/>
      <c r="I273" s="227"/>
      <c r="J273" s="227"/>
      <c r="K273" s="238"/>
      <c r="L273" s="12"/>
      <c r="M273" s="12"/>
      <c r="N273" s="12"/>
      <c r="O273" s="12"/>
      <c r="P273" s="12"/>
      <c r="Q273" s="12"/>
      <c r="R273" s="12"/>
      <c r="S273" s="12"/>
      <c r="T273" s="12"/>
      <c r="U273" s="12"/>
      <c r="V273" s="12"/>
      <c r="W273" s="12"/>
      <c r="X273" s="12"/>
      <c r="Y273" s="12"/>
    </row>
    <row r="274" spans="1:25" ht="17.25" customHeight="1" x14ac:dyDescent="0.25">
      <c r="A274" s="263" t="s">
        <v>193</v>
      </c>
      <c r="B274" s="262">
        <f>B270+(26*7)</f>
        <v>182</v>
      </c>
      <c r="C274" s="226"/>
      <c r="D274" s="226"/>
      <c r="E274" s="227"/>
      <c r="F274" s="227"/>
      <c r="G274" s="232"/>
      <c r="H274" s="238"/>
      <c r="I274" s="227"/>
      <c r="J274" s="227"/>
      <c r="K274" s="238"/>
      <c r="L274" s="12"/>
      <c r="M274" s="12"/>
      <c r="N274" s="12"/>
      <c r="O274" s="12"/>
      <c r="P274" s="12"/>
      <c r="Q274" s="12"/>
      <c r="R274" s="12"/>
      <c r="S274" s="12"/>
      <c r="T274" s="12"/>
      <c r="U274" s="12"/>
      <c r="V274" s="12"/>
      <c r="W274" s="12"/>
      <c r="X274" s="12"/>
      <c r="Y274" s="12"/>
    </row>
    <row r="275" spans="1:25" ht="17.25" customHeight="1" x14ac:dyDescent="0.25">
      <c r="A275" s="269" t="s">
        <v>194</v>
      </c>
      <c r="B275" s="262">
        <f>B270+(40*7)</f>
        <v>280</v>
      </c>
      <c r="C275" s="226"/>
      <c r="D275" s="226"/>
      <c r="E275" s="226"/>
      <c r="F275" s="226"/>
      <c r="G275" s="231"/>
      <c r="H275" s="236"/>
      <c r="I275" s="226"/>
      <c r="J275" s="226"/>
      <c r="K275" s="236"/>
      <c r="L275" s="12"/>
      <c r="M275" s="12"/>
      <c r="N275" s="12"/>
      <c r="O275" s="12"/>
      <c r="P275" s="12"/>
      <c r="Q275" s="12"/>
      <c r="R275" s="12"/>
      <c r="S275" s="12"/>
      <c r="T275" s="12"/>
      <c r="U275" s="12"/>
      <c r="V275" s="12"/>
      <c r="W275" s="12"/>
      <c r="X275" s="12"/>
      <c r="Y275" s="12"/>
    </row>
    <row r="276" spans="1:25" ht="17.25" customHeight="1" x14ac:dyDescent="0.25">
      <c r="A276" s="269" t="s">
        <v>195</v>
      </c>
      <c r="B276" s="262">
        <f>B270+(46*7)</f>
        <v>322</v>
      </c>
      <c r="C276" s="226"/>
      <c r="D276" s="226"/>
      <c r="E276" s="226"/>
      <c r="F276" s="226"/>
      <c r="G276" s="231"/>
      <c r="H276" s="236"/>
      <c r="I276" s="226"/>
      <c r="J276" s="226"/>
      <c r="K276" s="236"/>
      <c r="L276" s="12"/>
      <c r="M276" s="12"/>
      <c r="N276" s="12"/>
      <c r="O276" s="12"/>
      <c r="P276" s="12"/>
      <c r="Q276" s="12"/>
      <c r="R276" s="12"/>
      <c r="S276" s="12"/>
      <c r="T276" s="12"/>
      <c r="U276" s="12"/>
      <c r="V276" s="12"/>
      <c r="W276" s="12"/>
      <c r="X276" s="12"/>
      <c r="Y276" s="12"/>
    </row>
    <row r="277" spans="1:25" ht="17.25" customHeight="1" x14ac:dyDescent="0.25">
      <c r="A277" s="263" t="s">
        <v>196</v>
      </c>
      <c r="B277" s="262">
        <f>B270+(54*7)</f>
        <v>378</v>
      </c>
      <c r="C277" s="226"/>
      <c r="D277" s="226"/>
      <c r="E277" s="226"/>
      <c r="F277" s="226"/>
      <c r="G277" s="231"/>
      <c r="H277" s="236"/>
      <c r="I277" s="226"/>
      <c r="J277" s="226"/>
      <c r="K277" s="236"/>
      <c r="L277" s="12"/>
      <c r="M277" s="12"/>
      <c r="N277" s="12"/>
      <c r="O277" s="12"/>
      <c r="P277" s="12"/>
      <c r="Q277" s="12"/>
      <c r="R277" s="12"/>
      <c r="S277" s="12"/>
      <c r="T277" s="12"/>
      <c r="U277" s="12"/>
      <c r="V277" s="12"/>
      <c r="W277" s="12"/>
      <c r="X277" s="12"/>
      <c r="Y277" s="12"/>
    </row>
    <row r="278" spans="1:25" ht="17.25" customHeight="1" x14ac:dyDescent="0.25">
      <c r="A278" s="263" t="s">
        <v>197</v>
      </c>
      <c r="B278" s="262">
        <f>B270+(60*7)</f>
        <v>420</v>
      </c>
      <c r="C278" s="226"/>
      <c r="D278" s="226"/>
      <c r="E278" s="226"/>
      <c r="F278" s="226"/>
      <c r="G278" s="231"/>
      <c r="H278" s="236"/>
      <c r="I278" s="226"/>
      <c r="J278" s="226"/>
      <c r="K278" s="236"/>
      <c r="L278" s="12"/>
      <c r="M278" s="12"/>
      <c r="N278" s="12"/>
      <c r="O278" s="12"/>
      <c r="P278" s="12"/>
      <c r="Q278" s="12"/>
      <c r="R278" s="12"/>
      <c r="S278" s="12"/>
      <c r="T278" s="12"/>
      <c r="U278" s="12"/>
      <c r="V278" s="12"/>
      <c r="W278" s="12"/>
      <c r="X278" s="12"/>
      <c r="Y278" s="12"/>
    </row>
    <row r="279" spans="1:25" ht="17.25" customHeight="1" x14ac:dyDescent="0.25">
      <c r="A279" s="226"/>
      <c r="B279" s="226"/>
      <c r="C279" s="226"/>
      <c r="D279" s="226"/>
      <c r="G279" s="231"/>
      <c r="H279" s="236"/>
      <c r="I279" s="226"/>
      <c r="J279" s="226"/>
      <c r="K279" s="236"/>
      <c r="L279" s="12"/>
      <c r="M279" s="12"/>
      <c r="N279" s="12"/>
      <c r="O279" s="12"/>
      <c r="P279" s="12"/>
      <c r="Q279" s="12"/>
      <c r="R279" s="12"/>
      <c r="S279" s="12"/>
      <c r="T279" s="12"/>
      <c r="U279" s="12"/>
      <c r="V279" s="12"/>
      <c r="W279" s="12"/>
      <c r="X279" s="12"/>
      <c r="Y279" s="12"/>
    </row>
    <row r="280" spans="1:25" ht="17.25" customHeight="1" x14ac:dyDescent="0.25">
      <c r="A280" s="226"/>
      <c r="B280" s="226"/>
      <c r="C280" s="226"/>
      <c r="D280" s="226"/>
      <c r="G280" s="231"/>
      <c r="H280" s="236"/>
      <c r="I280" s="226"/>
      <c r="J280" s="226"/>
      <c r="K280" s="236"/>
      <c r="L280" s="12"/>
      <c r="M280" s="12"/>
      <c r="N280" s="12"/>
      <c r="O280" s="12"/>
      <c r="P280" s="12"/>
      <c r="Q280" s="12"/>
      <c r="R280" s="12"/>
      <c r="S280" s="12"/>
      <c r="T280" s="12"/>
      <c r="U280" s="12"/>
      <c r="V280" s="12"/>
      <c r="W280" s="12"/>
      <c r="X280" s="12"/>
      <c r="Y280" s="12"/>
    </row>
    <row r="281" spans="1:25" ht="17.25" customHeight="1" x14ac:dyDescent="0.25">
      <c r="A281" s="228"/>
      <c r="B281" s="228"/>
      <c r="C281" s="228"/>
      <c r="D281" s="228"/>
      <c r="E281" s="229"/>
      <c r="F281" s="229"/>
      <c r="G281" s="233"/>
      <c r="H281" s="239"/>
      <c r="I281" s="226"/>
      <c r="J281" s="226"/>
      <c r="K281" s="236"/>
      <c r="L281" s="12"/>
      <c r="M281" s="12"/>
      <c r="N281" s="12"/>
      <c r="O281" s="12"/>
      <c r="P281" s="12"/>
      <c r="Q281" s="12"/>
      <c r="R281" s="12"/>
      <c r="S281" s="12"/>
      <c r="T281" s="12"/>
      <c r="U281" s="12"/>
      <c r="V281" s="12"/>
      <c r="W281" s="12"/>
      <c r="X281" s="12"/>
      <c r="Y281" s="12"/>
    </row>
    <row r="282" spans="1:25" ht="17.25" customHeight="1" x14ac:dyDescent="0.25">
      <c r="A282" s="241"/>
      <c r="B282" s="230"/>
      <c r="C282" s="230"/>
      <c r="D282" s="230"/>
      <c r="E282" s="230"/>
      <c r="F282" s="230"/>
      <c r="G282" s="234"/>
      <c r="H282" s="240"/>
      <c r="I282" s="226"/>
      <c r="J282" s="226"/>
      <c r="K282" s="236"/>
      <c r="L282" s="12"/>
      <c r="M282" s="12"/>
      <c r="N282" s="12"/>
      <c r="O282" s="12"/>
      <c r="P282" s="12"/>
      <c r="Q282" s="12"/>
      <c r="R282" s="12"/>
      <c r="S282" s="12"/>
      <c r="T282" s="12"/>
      <c r="U282" s="12"/>
      <c r="V282" s="12"/>
      <c r="W282" s="12"/>
      <c r="X282" s="12"/>
      <c r="Y282" s="12"/>
    </row>
    <row r="283" spans="1:25" ht="17.25" customHeight="1" x14ac:dyDescent="0.25">
      <c r="A283" s="226"/>
      <c r="B283" s="226"/>
      <c r="C283" s="226"/>
      <c r="D283" s="226"/>
      <c r="E283" s="226"/>
      <c r="F283" s="226"/>
      <c r="G283" s="231"/>
      <c r="H283" s="236"/>
      <c r="I283" s="226"/>
      <c r="J283" s="226"/>
      <c r="K283" s="236"/>
      <c r="L283" s="12"/>
      <c r="M283" s="12"/>
      <c r="N283" s="12"/>
      <c r="O283" s="12"/>
      <c r="P283" s="12"/>
      <c r="Q283" s="12"/>
      <c r="R283" s="12"/>
      <c r="S283" s="12"/>
      <c r="T283" s="12"/>
      <c r="U283" s="12"/>
      <c r="V283" s="12"/>
      <c r="W283" s="12"/>
      <c r="X283" s="12"/>
      <c r="Y283" s="12"/>
    </row>
    <row r="284" spans="1:25" ht="17.25" customHeight="1" x14ac:dyDescent="0.25">
      <c r="A284" s="226"/>
      <c r="B284" s="227"/>
      <c r="C284" s="227"/>
      <c r="D284" s="227"/>
      <c r="E284" s="227"/>
      <c r="F284" s="227"/>
      <c r="G284" s="232"/>
      <c r="H284" s="238"/>
      <c r="I284" s="226"/>
      <c r="J284" s="226"/>
      <c r="K284" s="236"/>
      <c r="L284" s="12"/>
      <c r="M284" s="12"/>
      <c r="N284" s="12"/>
      <c r="O284" s="12"/>
      <c r="P284" s="12"/>
      <c r="Q284" s="12"/>
      <c r="R284" s="12"/>
      <c r="S284" s="12"/>
      <c r="T284" s="12"/>
      <c r="U284" s="12"/>
      <c r="V284" s="12"/>
      <c r="W284" s="12"/>
      <c r="X284" s="12"/>
      <c r="Y284" s="12"/>
    </row>
    <row r="285" spans="1:25" ht="17.25" customHeight="1" x14ac:dyDescent="0.25">
      <c r="A285" s="226"/>
      <c r="B285" s="227"/>
      <c r="C285" s="227"/>
      <c r="D285" s="227"/>
      <c r="E285" s="227"/>
      <c r="F285" s="227"/>
      <c r="G285" s="232"/>
      <c r="H285" s="238"/>
      <c r="I285" s="226"/>
      <c r="J285" s="226"/>
      <c r="K285" s="236"/>
      <c r="L285" s="12"/>
      <c r="M285" s="12"/>
      <c r="N285" s="12"/>
      <c r="O285" s="12"/>
      <c r="P285" s="12"/>
      <c r="Q285" s="12"/>
      <c r="R285" s="12"/>
      <c r="S285" s="12"/>
      <c r="T285" s="12"/>
      <c r="U285" s="12"/>
      <c r="V285" s="12"/>
      <c r="W285" s="12"/>
      <c r="X285" s="12"/>
      <c r="Y285" s="12"/>
    </row>
    <row r="286" spans="1:25" ht="17.25" customHeight="1" x14ac:dyDescent="0.25">
      <c r="A286" s="226"/>
      <c r="B286" s="226"/>
      <c r="C286" s="226"/>
      <c r="D286" s="226"/>
      <c r="E286" s="226"/>
      <c r="F286" s="226"/>
      <c r="G286" s="231"/>
      <c r="H286" s="236"/>
      <c r="I286" s="226"/>
      <c r="J286" s="226"/>
      <c r="K286" s="236"/>
      <c r="L286" s="12"/>
      <c r="M286" s="12"/>
      <c r="N286" s="12"/>
      <c r="O286" s="12"/>
      <c r="P286" s="12"/>
      <c r="Q286" s="12"/>
      <c r="R286" s="12"/>
      <c r="S286" s="12"/>
      <c r="T286" s="12"/>
      <c r="U286" s="12"/>
      <c r="V286" s="12"/>
      <c r="W286" s="12"/>
      <c r="X286" s="12"/>
      <c r="Y286" s="12"/>
    </row>
    <row r="287" spans="1:25" ht="17.25" customHeight="1" x14ac:dyDescent="0.25">
      <c r="A287" s="226"/>
      <c r="B287" s="226"/>
      <c r="C287" s="226"/>
      <c r="D287" s="226"/>
      <c r="E287" s="226"/>
      <c r="F287" s="226"/>
      <c r="G287" s="231"/>
      <c r="H287" s="236"/>
      <c r="K287" s="12"/>
      <c r="L287" s="12"/>
      <c r="M287" s="12"/>
      <c r="N287" s="12"/>
      <c r="O287" s="12"/>
      <c r="P287" s="12"/>
      <c r="Q287" s="12"/>
      <c r="R287" s="12"/>
      <c r="S287" s="12"/>
      <c r="T287" s="12"/>
      <c r="U287" s="12"/>
      <c r="V287" s="12"/>
      <c r="W287" s="12"/>
      <c r="X287" s="12"/>
      <c r="Y287" s="12"/>
    </row>
    <row r="288" spans="1:25" ht="17.25" customHeight="1" x14ac:dyDescent="0.25">
      <c r="A288" s="226"/>
      <c r="B288" s="226"/>
      <c r="C288" s="226"/>
      <c r="D288" s="226"/>
      <c r="E288" s="226"/>
      <c r="F288" s="226"/>
      <c r="G288" s="231"/>
      <c r="H288" s="236"/>
      <c r="K288" s="12"/>
      <c r="L288" s="12"/>
      <c r="M288" s="12"/>
      <c r="N288" s="12"/>
      <c r="O288" s="12"/>
      <c r="P288" s="12"/>
      <c r="Q288" s="12"/>
      <c r="R288" s="12"/>
      <c r="S288" s="12"/>
      <c r="T288" s="12"/>
      <c r="U288" s="12"/>
      <c r="V288" s="12"/>
      <c r="W288" s="12"/>
      <c r="X288" s="12"/>
      <c r="Y288" s="12"/>
    </row>
    <row r="289" spans="11:25" ht="17.25" customHeight="1" x14ac:dyDescent="0.25">
      <c r="K289" s="12"/>
      <c r="L289" s="12"/>
      <c r="M289" s="12"/>
      <c r="N289" s="12"/>
      <c r="O289" s="12"/>
      <c r="P289" s="12"/>
      <c r="Q289" s="12"/>
      <c r="R289" s="12"/>
      <c r="S289" s="12"/>
      <c r="T289" s="12"/>
      <c r="U289" s="12"/>
      <c r="V289" s="12"/>
      <c r="W289" s="12"/>
      <c r="X289" s="12"/>
      <c r="Y289" s="12"/>
    </row>
    <row r="290" spans="11:25" ht="17.25" customHeight="1" x14ac:dyDescent="0.25">
      <c r="K290" s="12"/>
      <c r="L290" s="12"/>
      <c r="M290" s="12"/>
      <c r="N290" s="12"/>
      <c r="O290" s="12"/>
      <c r="P290" s="12"/>
      <c r="Q290" s="12"/>
      <c r="R290" s="12"/>
      <c r="S290" s="12"/>
      <c r="T290" s="12"/>
      <c r="U290" s="12"/>
      <c r="V290" s="12"/>
      <c r="W290" s="12"/>
      <c r="X290" s="12"/>
      <c r="Y290" s="12"/>
    </row>
    <row r="291" spans="11:25" ht="17.25" customHeight="1" x14ac:dyDescent="0.25">
      <c r="K291" s="12"/>
      <c r="L291" s="12"/>
      <c r="M291" s="12"/>
      <c r="N291" s="12"/>
      <c r="O291" s="12"/>
      <c r="P291" s="12"/>
      <c r="Q291" s="12"/>
      <c r="R291" s="12"/>
      <c r="S291" s="12"/>
      <c r="T291" s="12"/>
      <c r="U291" s="12"/>
      <c r="V291" s="12"/>
      <c r="W291" s="12"/>
      <c r="X291" s="12"/>
      <c r="Y291" s="12"/>
    </row>
    <row r="292" spans="11:25" ht="17.25" customHeight="1" x14ac:dyDescent="0.25">
      <c r="K292" s="12"/>
      <c r="L292" s="12"/>
      <c r="M292" s="12"/>
      <c r="N292" s="12"/>
      <c r="O292" s="12"/>
      <c r="P292" s="12"/>
      <c r="Q292" s="12"/>
      <c r="R292" s="12"/>
      <c r="S292" s="12"/>
      <c r="T292" s="12"/>
      <c r="U292" s="12"/>
      <c r="V292" s="12"/>
      <c r="W292" s="12"/>
      <c r="X292" s="12"/>
      <c r="Y292" s="12"/>
    </row>
    <row r="293" spans="11:25" ht="17.25" customHeight="1" x14ac:dyDescent="0.25">
      <c r="K293" s="12"/>
      <c r="L293" s="12"/>
      <c r="M293" s="12"/>
      <c r="N293" s="12"/>
      <c r="O293" s="12"/>
      <c r="P293" s="12"/>
      <c r="Q293" s="12"/>
      <c r="R293" s="12"/>
      <c r="S293" s="12"/>
      <c r="T293" s="12"/>
      <c r="U293" s="12"/>
      <c r="V293" s="12"/>
      <c r="W293" s="12"/>
      <c r="X293" s="12"/>
      <c r="Y293" s="12"/>
    </row>
    <row r="294" spans="11:25" ht="17.25" customHeight="1" x14ac:dyDescent="0.25">
      <c r="K294" s="12"/>
      <c r="L294" s="12"/>
      <c r="M294" s="12"/>
      <c r="N294" s="12"/>
      <c r="O294" s="12"/>
      <c r="P294" s="12"/>
      <c r="Q294" s="12"/>
      <c r="R294" s="12"/>
      <c r="S294" s="12"/>
      <c r="T294" s="12"/>
      <c r="U294" s="12"/>
      <c r="V294" s="12"/>
      <c r="W294" s="12"/>
      <c r="X294" s="12"/>
      <c r="Y294" s="12"/>
    </row>
    <row r="295" spans="11:25" ht="17.25" customHeight="1" x14ac:dyDescent="0.25">
      <c r="K295" s="12"/>
      <c r="L295" s="12"/>
      <c r="M295" s="12"/>
      <c r="N295" s="12"/>
      <c r="O295" s="12"/>
      <c r="P295" s="12"/>
      <c r="Q295" s="12"/>
      <c r="R295" s="12"/>
      <c r="S295" s="12"/>
      <c r="T295" s="12"/>
      <c r="U295" s="12"/>
      <c r="V295" s="12"/>
      <c r="W295" s="12"/>
      <c r="X295" s="12"/>
      <c r="Y295" s="12"/>
    </row>
    <row r="296" spans="11:25" ht="17.25" customHeight="1" x14ac:dyDescent="0.25">
      <c r="K296" s="12"/>
      <c r="L296" s="12"/>
      <c r="M296" s="12"/>
      <c r="N296" s="12"/>
      <c r="O296" s="12"/>
      <c r="P296" s="12"/>
      <c r="Q296" s="12"/>
      <c r="R296" s="12"/>
      <c r="S296" s="12"/>
      <c r="T296" s="12"/>
      <c r="U296" s="12"/>
      <c r="V296" s="12"/>
      <c r="W296" s="12"/>
      <c r="X296" s="12"/>
      <c r="Y296" s="12"/>
    </row>
    <row r="297" spans="11:25" ht="17.25" customHeight="1" x14ac:dyDescent="0.25">
      <c r="K297" s="12"/>
      <c r="L297" s="12"/>
      <c r="M297" s="12"/>
      <c r="N297" s="12"/>
      <c r="O297" s="12"/>
      <c r="P297" s="12"/>
      <c r="Q297" s="12"/>
      <c r="R297" s="12"/>
      <c r="S297" s="12"/>
      <c r="T297" s="12"/>
      <c r="U297" s="12"/>
      <c r="V297" s="12"/>
      <c r="W297" s="12"/>
      <c r="X297" s="12"/>
      <c r="Y297" s="12"/>
    </row>
    <row r="298" spans="11:25" ht="17.25" customHeight="1" x14ac:dyDescent="0.25">
      <c r="K298" s="12"/>
      <c r="L298" s="12"/>
      <c r="M298" s="12"/>
      <c r="N298" s="12"/>
      <c r="O298" s="12"/>
      <c r="P298" s="12"/>
      <c r="Q298" s="12"/>
      <c r="R298" s="12"/>
      <c r="S298" s="12"/>
      <c r="T298" s="12"/>
      <c r="U298" s="12"/>
      <c r="V298" s="12"/>
      <c r="W298" s="12"/>
      <c r="X298" s="12"/>
      <c r="Y298" s="12"/>
    </row>
    <row r="299" spans="11:25" ht="17.25" customHeight="1" x14ac:dyDescent="0.25">
      <c r="K299" s="12"/>
      <c r="L299" s="12"/>
      <c r="M299" s="12"/>
      <c r="N299" s="12"/>
      <c r="O299" s="12"/>
      <c r="P299" s="12"/>
      <c r="Q299" s="12"/>
      <c r="R299" s="12"/>
      <c r="S299" s="12"/>
      <c r="T299" s="12"/>
      <c r="U299" s="12"/>
      <c r="V299" s="12"/>
      <c r="W299" s="12"/>
      <c r="X299" s="12"/>
      <c r="Y299" s="12"/>
    </row>
  </sheetData>
  <sheetProtection algorithmName="SHA-512" hashValue="b8xUU8jd8yueKAdE6tMpdSi/E+nYCDIEo94VpG6HyKbuTmHrZhn9P42QNiG7LhbJr7x+vWhPBwJH7LZXAybWfQ==" saltValue="y4z6J1MeemBfxu226TAwfA==" spinCount="100000" sheet="1" objects="1" scenarios="1"/>
  <mergeCells count="129">
    <mergeCell ref="A1:G1"/>
    <mergeCell ref="P157:R157"/>
    <mergeCell ref="P156:R156"/>
    <mergeCell ref="E162:F162"/>
    <mergeCell ref="E164:F164"/>
    <mergeCell ref="E165:F165"/>
    <mergeCell ref="B164:D164"/>
    <mergeCell ref="E186:F186"/>
    <mergeCell ref="E187:F187"/>
    <mergeCell ref="E163:F163"/>
    <mergeCell ref="A177:D177"/>
    <mergeCell ref="E179:F179"/>
    <mergeCell ref="E180:F180"/>
    <mergeCell ref="E181:F181"/>
    <mergeCell ref="E182:F182"/>
    <mergeCell ref="B163:D163"/>
    <mergeCell ref="A2:G2"/>
    <mergeCell ref="K40:L40"/>
    <mergeCell ref="A48:C48"/>
    <mergeCell ref="K46:L46"/>
    <mergeCell ref="A3:G3"/>
    <mergeCell ref="B159:D159"/>
    <mergeCell ref="B161:D161"/>
    <mergeCell ref="E160:F160"/>
    <mergeCell ref="A214:G214"/>
    <mergeCell ref="E191:F191"/>
    <mergeCell ref="E192:F192"/>
    <mergeCell ref="A197:G197"/>
    <mergeCell ref="A195:G195"/>
    <mergeCell ref="B166:D166"/>
    <mergeCell ref="B167:D167"/>
    <mergeCell ref="B168:D168"/>
    <mergeCell ref="B169:D169"/>
    <mergeCell ref="B170:D170"/>
    <mergeCell ref="E167:F167"/>
    <mergeCell ref="E168:F168"/>
    <mergeCell ref="E169:F169"/>
    <mergeCell ref="A200:C200"/>
    <mergeCell ref="A201:C201"/>
    <mergeCell ref="D200:E200"/>
    <mergeCell ref="D201:E201"/>
    <mergeCell ref="F200:G200"/>
    <mergeCell ref="F201:G201"/>
    <mergeCell ref="A202:G204"/>
    <mergeCell ref="C182:D182"/>
    <mergeCell ref="E170:F170"/>
    <mergeCell ref="E166:F166"/>
    <mergeCell ref="A199:G199"/>
    <mergeCell ref="C152:D152"/>
    <mergeCell ref="B157:D157"/>
    <mergeCell ref="B158:D158"/>
    <mergeCell ref="C188:D188"/>
    <mergeCell ref="B160:D160"/>
    <mergeCell ref="E161:F161"/>
    <mergeCell ref="D13:G13"/>
    <mergeCell ref="D14:G14"/>
    <mergeCell ref="D15:G15"/>
    <mergeCell ref="D18:G18"/>
    <mergeCell ref="D19:G19"/>
    <mergeCell ref="D25:G25"/>
    <mergeCell ref="D26:G26"/>
    <mergeCell ref="D34:F34"/>
    <mergeCell ref="A34:C34"/>
    <mergeCell ref="A32:C32"/>
    <mergeCell ref="A33:C33"/>
    <mergeCell ref="A29:C29"/>
    <mergeCell ref="D29:G29"/>
    <mergeCell ref="C189:D189"/>
    <mergeCell ref="C190:D190"/>
    <mergeCell ref="C180:D180"/>
    <mergeCell ref="A156:F156"/>
    <mergeCell ref="C187:D187"/>
    <mergeCell ref="M31:N31"/>
    <mergeCell ref="M30:N30"/>
    <mergeCell ref="A30:C30"/>
    <mergeCell ref="E188:F188"/>
    <mergeCell ref="E189:F189"/>
    <mergeCell ref="E190:F190"/>
    <mergeCell ref="E157:F157"/>
    <mergeCell ref="E158:F158"/>
    <mergeCell ref="E159:F159"/>
    <mergeCell ref="E183:F183"/>
    <mergeCell ref="E184:F184"/>
    <mergeCell ref="E185:F185"/>
    <mergeCell ref="B162:D162"/>
    <mergeCell ref="C181:D181"/>
    <mergeCell ref="A172:G175"/>
    <mergeCell ref="C186:D186"/>
    <mergeCell ref="B165:D165"/>
    <mergeCell ref="C146:D146"/>
    <mergeCell ref="C147:D147"/>
    <mergeCell ref="L19:N21"/>
    <mergeCell ref="A18:C18"/>
    <mergeCell ref="A21:C21"/>
    <mergeCell ref="A19:C19"/>
    <mergeCell ref="A27:C27"/>
    <mergeCell ref="A13:C13"/>
    <mergeCell ref="A14:C14"/>
    <mergeCell ref="A15:C15"/>
    <mergeCell ref="A28:C28"/>
    <mergeCell ref="D27:G27"/>
    <mergeCell ref="A17:C17"/>
    <mergeCell ref="A25:C25"/>
    <mergeCell ref="A26:C26"/>
    <mergeCell ref="D28:G28"/>
    <mergeCell ref="A206:G212"/>
    <mergeCell ref="A213:G213"/>
    <mergeCell ref="D23:E23"/>
    <mergeCell ref="D10:E10"/>
    <mergeCell ref="A50:G50"/>
    <mergeCell ref="A53:G53"/>
    <mergeCell ref="C179:D179"/>
    <mergeCell ref="A66:G68"/>
    <mergeCell ref="A5:G5"/>
    <mergeCell ref="C191:D191"/>
    <mergeCell ref="A178:D178"/>
    <mergeCell ref="C183:D183"/>
    <mergeCell ref="A196:G196"/>
    <mergeCell ref="A11:C11"/>
    <mergeCell ref="B99:C99"/>
    <mergeCell ref="A69:G69"/>
    <mergeCell ref="C145:D145"/>
    <mergeCell ref="A75:G75"/>
    <mergeCell ref="A44:G44"/>
    <mergeCell ref="A47:G47"/>
    <mergeCell ref="A35:G35"/>
    <mergeCell ref="A41:G41"/>
    <mergeCell ref="C184:D184"/>
    <mergeCell ref="C185:D185"/>
  </mergeCells>
  <conditionalFormatting sqref="A41 K69">
    <cfRule type="notContainsBlanks" dxfId="16" priority="50">
      <formula>LEN(TRIM(A41))&gt;0</formula>
    </cfRule>
  </conditionalFormatting>
  <conditionalFormatting sqref="A33:C33">
    <cfRule type="expression" dxfId="15" priority="4">
      <formula>$E$32="Ja"</formula>
    </cfRule>
  </conditionalFormatting>
  <conditionalFormatting sqref="A34:C34">
    <cfRule type="expression" dxfId="14" priority="9">
      <formula>$D$23="Far / Medmor"</formula>
    </cfRule>
  </conditionalFormatting>
  <conditionalFormatting sqref="A44:G44">
    <cfRule type="notContainsBlanks" dxfId="13" priority="23">
      <formula>LEN(TRIM(A44))&gt;0</formula>
    </cfRule>
    <cfRule type="notContainsBlanks" dxfId="12" priority="24">
      <formula>LEN(TRIM(A44))&gt;0</formula>
    </cfRule>
    <cfRule type="notContainsBlanks" priority="25">
      <formula>LEN(TRIM(A44))&gt;0</formula>
    </cfRule>
  </conditionalFormatting>
  <conditionalFormatting sqref="A47:G47">
    <cfRule type="notContainsBlanks" dxfId="11" priority="22">
      <formula>LEN(TRIM(A47))&gt;0</formula>
    </cfRule>
  </conditionalFormatting>
  <conditionalFormatting sqref="A50:G50">
    <cfRule type="notContainsBlanks" dxfId="10" priority="21">
      <formula>LEN(TRIM(A50))&gt;0</formula>
    </cfRule>
  </conditionalFormatting>
  <conditionalFormatting sqref="A53:G53">
    <cfRule type="notContainsBlanks" dxfId="9" priority="20">
      <formula>LEN(TRIM(A53))&gt;0</formula>
    </cfRule>
  </conditionalFormatting>
  <conditionalFormatting sqref="A75:G75">
    <cfRule type="notContainsBlanks" dxfId="8" priority="18">
      <formula>LEN(TRIM(A75))&gt;0</formula>
    </cfRule>
  </conditionalFormatting>
  <conditionalFormatting sqref="A195:G195">
    <cfRule type="notContainsBlanks" dxfId="7" priority="17">
      <formula>LEN(TRIM(A195))&gt;0</formula>
    </cfRule>
  </conditionalFormatting>
  <conditionalFormatting sqref="B158:B169">
    <cfRule type="expression" dxfId="6" priority="72">
      <formula>AND(ISNUMBER($S159),$K$73)</formula>
    </cfRule>
  </conditionalFormatting>
  <conditionalFormatting sqref="B180:B191">
    <cfRule type="expression" dxfId="5" priority="73">
      <formula>AND(ISNUMBER($S159),$K$49)</formula>
    </cfRule>
  </conditionalFormatting>
  <conditionalFormatting sqref="C180:D191">
    <cfRule type="expression" dxfId="4" priority="74">
      <formula>AND(ISNUMBER($S159),$K$43)</formula>
    </cfRule>
  </conditionalFormatting>
  <conditionalFormatting sqref="D33">
    <cfRule type="expression" dxfId="3" priority="5">
      <formula>$E$32="Ja"</formula>
    </cfRule>
  </conditionalFormatting>
  <conditionalFormatting sqref="D34:F34">
    <cfRule type="expression" dxfId="2" priority="10">
      <formula>$D$23="Far / Medmor"</formula>
    </cfRule>
  </conditionalFormatting>
  <conditionalFormatting sqref="E58:F61">
    <cfRule type="expression" dxfId="1" priority="2">
      <formula>$K$52</formula>
    </cfRule>
  </conditionalFormatting>
  <conditionalFormatting sqref="F74">
    <cfRule type="expression" dxfId="0" priority="12">
      <formula>$F$73="Nej"</formula>
    </cfRule>
  </conditionalFormatting>
  <dataValidations xWindow="608" yWindow="532" count="12">
    <dataValidation type="list" allowBlank="1" showInputMessage="1" showErrorMessage="1" prompt="Vælg om den barslende er Mor eller Far / Medmor" sqref="D23:E23" xr:uid="{C4EABBFF-F3D0-45AA-9DD8-F98D39166EC1}">
      <formula1>"Mor, Far / Medmor"</formula1>
    </dataValidation>
    <dataValidation type="list" allowBlank="1" showInputMessage="1" showErrorMessage="1" sqref="G51" xr:uid="{991948CF-EA44-4CC0-9754-3D5D9F7C12E2}">
      <formula1>",Nej,Ja "</formula1>
    </dataValidation>
    <dataValidation type="list" allowBlank="1" showErrorMessage="1" promptTitle="Lønændringer" prompt="Har den barslens løn ændret sig over tid " sqref="F49" xr:uid="{718FB424-67FF-4A68-A900-80FD0FA90945}">
      <formula1>"Nej,Ja"</formula1>
    </dataValidation>
    <dataValidation type="list" allowBlank="1" showErrorMessage="1" promptTitle="Har lønbrøkken ændret sig " prompt="Har lønbrøkken ændret sig over ansættelsen " sqref="F43" xr:uid="{62593C62-3366-4CEE-879A-B4CE9B91BC00}">
      <formula1>"Nej , Ja"</formula1>
    </dataValidation>
    <dataValidation type="list" allowBlank="1" showErrorMessage="1" promptTitle="nedsatte graviditetsgener" prompt="Vælg om der har været nedsatte graviditetsgener" sqref="F73" xr:uid="{48FC254E-F270-42C1-B358-2D8BBAABA9C5}">
      <formula1>"Nej, Ja"</formula1>
    </dataValidation>
    <dataValidation type="date" allowBlank="1" showInputMessage="1" showErrorMessage="1" error="Mulige fejl:  1.Arket virker kun for indberetninger for ét år ad gangen 2.Datoer skal skrives i formattet xx-xx-xxxx. Kontakt eventuelt Koncernservice for hjælp._x000a_" promptTitle="Angiv dato" prompt="Angiv dato i dd-mm-åå." sqref="E58:F61" xr:uid="{69F71278-EB0F-4A93-A5EF-4F7936649449}">
      <formula1>$K$17</formula1>
      <formula2>$L$17</formula2>
    </dataValidation>
    <dataValidation type="date" allowBlank="1" showInputMessage="1" showErrorMessage="1" error="Mulige fejl:  1.Arket virker kun for indberetninger for ét år ad gangen 2.Datoer skal skrives i formattet xx-xx-xxxx. Kontakt eventuelt Koncernservice for hjælp._x000a_" prompt="dd-mm-åå" sqref="F74" xr:uid="{F9A2D3FB-ED37-41E2-9FC9-0971D062C3B0}">
      <formula1>$K$17</formula1>
      <formula2>$L$17</formula2>
    </dataValidation>
    <dataValidation type="list" allowBlank="1" showInputMessage="1" showErrorMessage="1" promptTitle="Kun for Far / Medmor " prompt="Inkludere den angivet periode 2 ugers fædreorlov? " sqref="D34:F34" xr:uid="{82573CCC-2BAD-4CD4-8502-CC8AF1D678DF}">
      <formula1>"Ja,Nej"</formula1>
    </dataValidation>
    <dataValidation type="list" allowBlank="1" showInputMessage="1" showErrorMessage="1" sqref="E32" xr:uid="{713CE98D-C7A1-4F1C-ACDA-1E73634D3371}">
      <formula1>"Ja,Nej"</formula1>
    </dataValidation>
    <dataValidation type="list" allowBlank="1" showInputMessage="1" showErrorMessage="1" sqref="D29:G29" xr:uid="{E9C8A676-00D0-4016-A73A-E8367A8D0514}">
      <formula1>"Nej (kun et barn), Flerlinger (mere end et barn)"</formula1>
    </dataValidation>
    <dataValidation type="textLength" operator="equal" allowBlank="1" showInputMessage="1" showErrorMessage="1" errorTitle="CPR.NR = kun 10 cifre " error="CPR.NR = kun 10 cifre " promptTitle="CPR.NR =  10 cifre " prompt="CPR.NR = xxxxxxxxxx_x000a__x000a_CPR-nummeret skal indeholde 10 cifre og være uden bindestreg" sqref="D25:G25" xr:uid="{A8A7C972-1F80-4208-BC2D-70007FA4EE61}">
      <formula1>10</formula1>
    </dataValidation>
    <dataValidation type="custom" allowBlank="1" showInputMessage="1" showErrorMessage="1" errorTitle="Kun for mor " error="Skal kun udfyldes for mor. _x000a_xx-xx-xxxx_x000a__x000a_Forventet (Termin) skal være tom for Far / Medmor_x000a_" promptTitle="Kun for mor " prompt="xx-xx-xxxx_x000a__x000a_Skal være tom for Far / Medmor." sqref="G30" xr:uid="{6A456E2C-8A46-4AE5-89CC-5C09C11F5D11}">
      <formula1>IF(D23="Far / Medmor", LEN(G30)=0,LEN(G30&gt;1))</formula1>
    </dataValidation>
  </dataValidations>
  <printOptions gridLines="1"/>
  <pageMargins left="0.25" right="0.25" top="0.75" bottom="0.75" header="0.3" footer="0.3"/>
  <pageSetup paperSize="9" scale="60" orientation="portrait" r:id="rId1"/>
  <legacy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9C831-EE1C-449D-A8D0-B072E069DC3B}">
  <sheetPr>
    <tabColor rgb="FFC9BFE1"/>
  </sheetPr>
  <dimension ref="A1:C52"/>
  <sheetViews>
    <sheetView topLeftCell="A3" zoomScale="160" zoomScaleNormal="160" workbookViewId="0">
      <selection activeCell="D13" sqref="D13"/>
    </sheetView>
  </sheetViews>
  <sheetFormatPr defaultColWidth="9.140625" defaultRowHeight="15" x14ac:dyDescent="0.25"/>
  <cols>
    <col min="3" max="3" width="9.5703125" hidden="1" customWidth="1"/>
    <col min="5" max="5" width="12.5703125" customWidth="1"/>
  </cols>
  <sheetData>
    <row r="1" spans="1:3" x14ac:dyDescent="0.25">
      <c r="A1" t="s">
        <v>198</v>
      </c>
    </row>
    <row r="3" spans="1:3" x14ac:dyDescent="0.25">
      <c r="B3" t="s">
        <v>199</v>
      </c>
      <c r="C3" t="s">
        <v>164</v>
      </c>
    </row>
    <row r="4" spans="1:3" x14ac:dyDescent="0.25">
      <c r="A4" s="156"/>
      <c r="B4" s="156">
        <v>860</v>
      </c>
      <c r="C4" s="156"/>
    </row>
    <row r="5" spans="1:3" x14ac:dyDescent="0.25">
      <c r="A5" s="156">
        <v>2019</v>
      </c>
      <c r="B5" s="156">
        <v>871</v>
      </c>
      <c r="C5" s="156"/>
    </row>
    <row r="6" spans="1:3" x14ac:dyDescent="0.25">
      <c r="A6" s="156">
        <v>2020</v>
      </c>
      <c r="B6" s="156">
        <v>881</v>
      </c>
      <c r="C6" s="156"/>
    </row>
    <row r="7" spans="1:3" x14ac:dyDescent="0.25">
      <c r="A7" s="156">
        <v>2021</v>
      </c>
      <c r="B7" s="156">
        <v>892</v>
      </c>
      <c r="C7" s="156"/>
    </row>
    <row r="8" spans="1:3" x14ac:dyDescent="0.25">
      <c r="A8" s="156">
        <v>2022</v>
      </c>
      <c r="B8" s="157">
        <v>893</v>
      </c>
      <c r="C8" s="156"/>
    </row>
    <row r="9" spans="1:3" x14ac:dyDescent="0.25">
      <c r="A9" s="156">
        <v>2023</v>
      </c>
      <c r="B9" s="157">
        <v>911</v>
      </c>
      <c r="C9" s="156">
        <v>19728</v>
      </c>
    </row>
    <row r="10" spans="1:3" x14ac:dyDescent="0.25">
      <c r="A10" s="156">
        <v>2024</v>
      </c>
      <c r="B10" s="157">
        <v>953</v>
      </c>
      <c r="C10" s="158">
        <v>20648.333333333299</v>
      </c>
    </row>
    <row r="11" spans="1:3" x14ac:dyDescent="0.25">
      <c r="A11" s="156">
        <v>2025</v>
      </c>
      <c r="B11" s="156">
        <v>991</v>
      </c>
      <c r="C11" s="247">
        <v>21471</v>
      </c>
    </row>
    <row r="12" spans="1:3" x14ac:dyDescent="0.25">
      <c r="A12" s="156">
        <v>2026</v>
      </c>
      <c r="B12" s="156">
        <v>1038</v>
      </c>
      <c r="C12" s="282">
        <f>B12*21.75</f>
        <v>22576.5</v>
      </c>
    </row>
    <row r="13" spans="1:3" x14ac:dyDescent="0.25">
      <c r="A13" s="156">
        <v>2027</v>
      </c>
      <c r="B13" s="159"/>
      <c r="C13" s="159"/>
    </row>
    <row r="14" spans="1:3" x14ac:dyDescent="0.25">
      <c r="A14" s="156">
        <v>2028</v>
      </c>
      <c r="B14" s="159"/>
      <c r="C14" s="159"/>
    </row>
    <row r="15" spans="1:3" x14ac:dyDescent="0.25">
      <c r="A15" s="156">
        <v>2029</v>
      </c>
      <c r="B15" s="159"/>
      <c r="C15" s="159"/>
    </row>
    <row r="16" spans="1:3" x14ac:dyDescent="0.25">
      <c r="A16" s="156">
        <v>2030</v>
      </c>
      <c r="B16" s="159"/>
      <c r="C16" s="159"/>
    </row>
    <row r="17" spans="1:3" x14ac:dyDescent="0.25">
      <c r="A17" s="156">
        <v>2031</v>
      </c>
      <c r="B17" s="159"/>
      <c r="C17" s="159"/>
    </row>
    <row r="18" spans="1:3" x14ac:dyDescent="0.25">
      <c r="A18" s="156">
        <v>2032</v>
      </c>
      <c r="B18" s="159"/>
      <c r="C18" s="159"/>
    </row>
    <row r="19" spans="1:3" x14ac:dyDescent="0.25">
      <c r="A19" s="156">
        <v>2033</v>
      </c>
      <c r="B19" s="159"/>
      <c r="C19" s="159"/>
    </row>
    <row r="20" spans="1:3" x14ac:dyDescent="0.25">
      <c r="A20" s="156">
        <v>2034</v>
      </c>
      <c r="B20" s="159"/>
      <c r="C20" s="159"/>
    </row>
    <row r="21" spans="1:3" x14ac:dyDescent="0.25">
      <c r="A21" s="156">
        <v>2035</v>
      </c>
      <c r="B21" s="159"/>
      <c r="C21" s="159"/>
    </row>
    <row r="22" spans="1:3" x14ac:dyDescent="0.25">
      <c r="A22" s="156">
        <v>2036</v>
      </c>
      <c r="B22" s="159"/>
      <c r="C22" s="159"/>
    </row>
    <row r="23" spans="1:3" x14ac:dyDescent="0.25">
      <c r="A23" s="156">
        <v>2037</v>
      </c>
      <c r="B23" s="159"/>
      <c r="C23" s="159"/>
    </row>
    <row r="24" spans="1:3" x14ac:dyDescent="0.25">
      <c r="A24" s="156">
        <v>2038</v>
      </c>
      <c r="B24" s="159"/>
      <c r="C24" s="159"/>
    </row>
    <row r="25" spans="1:3" x14ac:dyDescent="0.25">
      <c r="A25" s="156">
        <v>2039</v>
      </c>
      <c r="B25" s="159"/>
      <c r="C25" s="159"/>
    </row>
    <row r="26" spans="1:3" x14ac:dyDescent="0.25">
      <c r="A26" s="156">
        <v>2040</v>
      </c>
      <c r="B26" s="159"/>
      <c r="C26" s="159"/>
    </row>
    <row r="27" spans="1:3" x14ac:dyDescent="0.25">
      <c r="A27" s="156">
        <v>2041</v>
      </c>
      <c r="B27" s="159"/>
      <c r="C27" s="159"/>
    </row>
    <row r="28" spans="1:3" x14ac:dyDescent="0.25">
      <c r="A28" s="156">
        <v>2042</v>
      </c>
      <c r="B28" s="159"/>
      <c r="C28" s="159"/>
    </row>
    <row r="29" spans="1:3" x14ac:dyDescent="0.25">
      <c r="A29" s="156">
        <v>2043</v>
      </c>
      <c r="B29" s="159"/>
      <c r="C29" s="159"/>
    </row>
    <row r="30" spans="1:3" x14ac:dyDescent="0.25">
      <c r="A30" s="156">
        <v>2044</v>
      </c>
      <c r="B30" s="159"/>
      <c r="C30" s="159"/>
    </row>
    <row r="31" spans="1:3" x14ac:dyDescent="0.25">
      <c r="A31" s="156">
        <v>2045</v>
      </c>
      <c r="B31" s="159"/>
      <c r="C31" s="159"/>
    </row>
    <row r="32" spans="1:3" x14ac:dyDescent="0.25">
      <c r="A32" s="156">
        <v>2046</v>
      </c>
      <c r="B32" s="159"/>
      <c r="C32" s="159"/>
    </row>
    <row r="33" spans="1:3" x14ac:dyDescent="0.25">
      <c r="A33" s="156">
        <v>2047</v>
      </c>
      <c r="B33" s="159"/>
      <c r="C33" s="159"/>
    </row>
    <row r="34" spans="1:3" x14ac:dyDescent="0.25">
      <c r="A34" s="156">
        <v>2048</v>
      </c>
      <c r="B34" s="159"/>
      <c r="C34" s="159"/>
    </row>
    <row r="35" spans="1:3" x14ac:dyDescent="0.25">
      <c r="A35" s="156">
        <v>2049</v>
      </c>
      <c r="B35" s="159"/>
      <c r="C35" s="159"/>
    </row>
    <row r="36" spans="1:3" x14ac:dyDescent="0.25">
      <c r="A36" s="156">
        <v>2050</v>
      </c>
      <c r="B36" s="159"/>
      <c r="C36" s="159"/>
    </row>
    <row r="37" spans="1:3" x14ac:dyDescent="0.25">
      <c r="A37" s="156">
        <v>2051</v>
      </c>
      <c r="B37" s="159"/>
      <c r="C37" s="159"/>
    </row>
    <row r="38" spans="1:3" x14ac:dyDescent="0.25">
      <c r="A38" s="156">
        <v>2052</v>
      </c>
      <c r="B38" s="159"/>
      <c r="C38" s="159"/>
    </row>
    <row r="39" spans="1:3" x14ac:dyDescent="0.25">
      <c r="A39" s="156">
        <v>2053</v>
      </c>
      <c r="B39" s="159"/>
      <c r="C39" s="159"/>
    </row>
    <row r="40" spans="1:3" x14ac:dyDescent="0.25">
      <c r="A40" s="156">
        <v>2054</v>
      </c>
      <c r="B40" s="159"/>
      <c r="C40" s="159"/>
    </row>
    <row r="41" spans="1:3" x14ac:dyDescent="0.25">
      <c r="A41" s="156">
        <v>2055</v>
      </c>
      <c r="B41" s="159"/>
      <c r="C41" s="159"/>
    </row>
    <row r="42" spans="1:3" x14ac:dyDescent="0.25">
      <c r="A42" s="156">
        <v>2056</v>
      </c>
      <c r="B42" s="159"/>
      <c r="C42" s="159"/>
    </row>
    <row r="43" spans="1:3" x14ac:dyDescent="0.25">
      <c r="A43" s="156">
        <v>2057</v>
      </c>
      <c r="B43" s="159"/>
      <c r="C43" s="159"/>
    </row>
    <row r="44" spans="1:3" x14ac:dyDescent="0.25">
      <c r="A44" s="156">
        <v>2058</v>
      </c>
      <c r="B44" s="159"/>
      <c r="C44" s="159"/>
    </row>
    <row r="45" spans="1:3" x14ac:dyDescent="0.25">
      <c r="A45" s="156">
        <v>2059</v>
      </c>
      <c r="B45" s="159"/>
      <c r="C45" s="159"/>
    </row>
    <row r="46" spans="1:3" x14ac:dyDescent="0.25">
      <c r="A46" s="156">
        <v>2060</v>
      </c>
      <c r="B46" s="159"/>
      <c r="C46" s="159"/>
    </row>
    <row r="47" spans="1:3" x14ac:dyDescent="0.25">
      <c r="A47" s="156">
        <v>2061</v>
      </c>
      <c r="B47" s="159"/>
      <c r="C47" s="159"/>
    </row>
    <row r="48" spans="1:3" x14ac:dyDescent="0.25">
      <c r="A48" s="156">
        <v>2062</v>
      </c>
      <c r="B48" s="159"/>
      <c r="C48" s="159"/>
    </row>
    <row r="49" spans="1:3" x14ac:dyDescent="0.25">
      <c r="A49" s="156">
        <v>2063</v>
      </c>
      <c r="B49" s="159"/>
      <c r="C49" s="159"/>
    </row>
    <row r="50" spans="1:3" x14ac:dyDescent="0.25">
      <c r="A50" s="156">
        <v>2064</v>
      </c>
      <c r="B50" s="159"/>
      <c r="C50" s="159"/>
    </row>
    <row r="51" spans="1:3" x14ac:dyDescent="0.25">
      <c r="A51" s="156">
        <v>2065</v>
      </c>
      <c r="B51" s="159"/>
      <c r="C51" s="159"/>
    </row>
    <row r="52" spans="1:3" x14ac:dyDescent="0.25">
      <c r="A52" s="156">
        <v>2066</v>
      </c>
      <c r="B52" s="159"/>
      <c r="C52" s="159"/>
    </row>
  </sheetData>
  <sheetProtection algorithmName="SHA-512" hashValue="ievfYp2RFFzveLcls0pYVGhUXNW9XgSocSXF2uPkrjvSfGCgEKjCrZ0xoOKH1Bo8OA0QI1qx1jTephwAksKXzg==" saltValue="xHYTrn/80wTWCzB8O/MFZQ==" spinCount="100000" sheet="1" objects="1" scenarios="1"/>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07180-7064-4822-99AD-3C8B64BD6DDD}">
  <sheetPr>
    <tabColor rgb="FFC9BFE1"/>
  </sheetPr>
  <dimension ref="A1:AN201"/>
  <sheetViews>
    <sheetView showGridLines="0" zoomScale="85" zoomScaleNormal="85" workbookViewId="0">
      <selection activeCell="C3" sqref="C3:C4"/>
    </sheetView>
  </sheetViews>
  <sheetFormatPr defaultColWidth="0" defaultRowHeight="15" zeroHeight="1" x14ac:dyDescent="0.25"/>
  <cols>
    <col min="1" max="1" width="11.5703125" style="160" customWidth="1"/>
    <col min="2" max="2" width="2.5703125" style="160" customWidth="1"/>
    <col min="3" max="3" width="107.85546875" customWidth="1"/>
    <col min="4" max="4" width="2.5703125" customWidth="1"/>
    <col min="5" max="5" width="11.5703125" style="160" customWidth="1"/>
    <col min="6" max="31" width="9.140625" style="160" hidden="1" customWidth="1"/>
    <col min="32" max="40" width="9.140625" hidden="1" customWidth="1"/>
    <col min="41" max="16384" width="8.5703125" hidden="1"/>
  </cols>
  <sheetData>
    <row r="1" spans="2:4" ht="56.1" customHeight="1" thickBot="1" x14ac:dyDescent="0.3"/>
    <row r="2" spans="2:4" ht="13.5" customHeight="1" thickTop="1" x14ac:dyDescent="0.25">
      <c r="B2" s="162"/>
      <c r="C2" s="163"/>
      <c r="D2" s="164"/>
    </row>
    <row r="3" spans="2:4" ht="408.95" customHeight="1" x14ac:dyDescent="0.25">
      <c r="B3" s="165"/>
      <c r="C3" s="441" t="s">
        <v>200</v>
      </c>
      <c r="D3" s="166"/>
    </row>
    <row r="4" spans="2:4" ht="238.5" customHeight="1" x14ac:dyDescent="0.25">
      <c r="B4" s="165"/>
      <c r="C4" s="441"/>
      <c r="D4" s="166"/>
    </row>
    <row r="5" spans="2:4" ht="5.0999999999999996" customHeight="1" thickBot="1" x14ac:dyDescent="0.3">
      <c r="B5" s="167"/>
      <c r="C5" s="168"/>
      <c r="D5" s="169"/>
    </row>
    <row r="6" spans="2:4" ht="56.1" customHeight="1" thickTop="1" x14ac:dyDescent="0.25">
      <c r="C6" s="161"/>
      <c r="D6" s="161"/>
    </row>
    <row r="7" spans="2:4" hidden="1" x14ac:dyDescent="0.25">
      <c r="C7" s="161"/>
      <c r="D7" s="161"/>
    </row>
    <row r="8" spans="2:4" hidden="1" x14ac:dyDescent="0.25">
      <c r="C8" s="161"/>
      <c r="D8" s="161"/>
    </row>
    <row r="9" spans="2:4" hidden="1" x14ac:dyDescent="0.25">
      <c r="C9" s="161"/>
      <c r="D9" s="161"/>
    </row>
    <row r="10" spans="2:4" hidden="1" x14ac:dyDescent="0.25">
      <c r="C10" s="161"/>
      <c r="D10" s="161"/>
    </row>
    <row r="11" spans="2:4" hidden="1" x14ac:dyDescent="0.25">
      <c r="C11" s="160"/>
      <c r="D11" s="160"/>
    </row>
    <row r="12" spans="2:4" hidden="1" x14ac:dyDescent="0.25">
      <c r="C12" s="160"/>
      <c r="D12" s="160"/>
    </row>
    <row r="13" spans="2:4" hidden="1" x14ac:dyDescent="0.25">
      <c r="C13" s="160"/>
      <c r="D13" s="160"/>
    </row>
    <row r="14" spans="2:4" hidden="1" x14ac:dyDescent="0.25">
      <c r="C14" s="160"/>
      <c r="D14" s="160"/>
    </row>
    <row r="15" spans="2:4" hidden="1" x14ac:dyDescent="0.25">
      <c r="C15" s="160"/>
      <c r="D15" s="160"/>
    </row>
    <row r="16" spans="2:4" hidden="1" x14ac:dyDescent="0.25">
      <c r="C16" s="160"/>
      <c r="D16" s="160"/>
    </row>
    <row r="17" spans="3:4" hidden="1" x14ac:dyDescent="0.25">
      <c r="C17" s="160"/>
      <c r="D17" s="160"/>
    </row>
    <row r="18" spans="3:4" hidden="1" x14ac:dyDescent="0.25">
      <c r="C18" s="160"/>
      <c r="D18" s="160"/>
    </row>
    <row r="19" spans="3:4" hidden="1" x14ac:dyDescent="0.25">
      <c r="C19" s="160"/>
      <c r="D19" s="160"/>
    </row>
    <row r="20" spans="3:4" hidden="1" x14ac:dyDescent="0.25">
      <c r="C20" s="160"/>
      <c r="D20" s="160"/>
    </row>
    <row r="21" spans="3:4" hidden="1" x14ac:dyDescent="0.25">
      <c r="C21" s="160"/>
      <c r="D21" s="160"/>
    </row>
    <row r="22" spans="3:4" hidden="1" x14ac:dyDescent="0.25">
      <c r="C22" s="160"/>
      <c r="D22" s="160"/>
    </row>
    <row r="23" spans="3:4" hidden="1" x14ac:dyDescent="0.25">
      <c r="C23" s="160"/>
      <c r="D23" s="160"/>
    </row>
    <row r="24" spans="3:4" hidden="1" x14ac:dyDescent="0.25">
      <c r="C24" s="160"/>
      <c r="D24" s="160"/>
    </row>
    <row r="25" spans="3:4" hidden="1" x14ac:dyDescent="0.25">
      <c r="C25" s="160"/>
      <c r="D25" s="160"/>
    </row>
    <row r="26" spans="3:4" hidden="1" x14ac:dyDescent="0.25">
      <c r="C26" s="160"/>
      <c r="D26" s="160"/>
    </row>
    <row r="27" spans="3:4" hidden="1" x14ac:dyDescent="0.25">
      <c r="C27" s="160"/>
      <c r="D27" s="160"/>
    </row>
    <row r="28" spans="3:4" hidden="1" x14ac:dyDescent="0.25">
      <c r="C28" s="160"/>
      <c r="D28" s="160"/>
    </row>
    <row r="29" spans="3:4" hidden="1" x14ac:dyDescent="0.25">
      <c r="C29" s="160"/>
      <c r="D29" s="160"/>
    </row>
    <row r="30" spans="3:4" hidden="1" x14ac:dyDescent="0.25">
      <c r="C30" s="160"/>
      <c r="D30" s="160"/>
    </row>
    <row r="31" spans="3:4" hidden="1" x14ac:dyDescent="0.25">
      <c r="C31" s="160"/>
      <c r="D31" s="160"/>
    </row>
    <row r="32" spans="3:4" hidden="1" x14ac:dyDescent="0.25">
      <c r="C32" s="160"/>
      <c r="D32" s="160"/>
    </row>
    <row r="33" spans="3:4" hidden="1" x14ac:dyDescent="0.25">
      <c r="C33" s="160"/>
      <c r="D33" s="160"/>
    </row>
    <row r="34" spans="3:4" hidden="1" x14ac:dyDescent="0.25">
      <c r="C34" s="160"/>
      <c r="D34" s="160"/>
    </row>
    <row r="35" spans="3:4" hidden="1" x14ac:dyDescent="0.25">
      <c r="C35" s="160"/>
      <c r="D35" s="160"/>
    </row>
    <row r="36" spans="3:4" hidden="1" x14ac:dyDescent="0.25">
      <c r="C36" s="160"/>
      <c r="D36" s="160"/>
    </row>
    <row r="37" spans="3:4" hidden="1" x14ac:dyDescent="0.25">
      <c r="C37" s="160"/>
      <c r="D37" s="160"/>
    </row>
    <row r="38" spans="3:4" hidden="1" x14ac:dyDescent="0.25">
      <c r="C38" s="160"/>
      <c r="D38" s="160"/>
    </row>
    <row r="39" spans="3:4" hidden="1" x14ac:dyDescent="0.25">
      <c r="C39" s="160"/>
      <c r="D39" s="160"/>
    </row>
    <row r="40" spans="3:4" hidden="1" x14ac:dyDescent="0.25">
      <c r="C40" s="160"/>
      <c r="D40" s="160"/>
    </row>
    <row r="41" spans="3:4" hidden="1" x14ac:dyDescent="0.25">
      <c r="C41" s="160"/>
      <c r="D41" s="160"/>
    </row>
    <row r="42" spans="3:4" hidden="1" x14ac:dyDescent="0.25">
      <c r="C42" s="160"/>
      <c r="D42" s="160"/>
    </row>
    <row r="43" spans="3:4" hidden="1" x14ac:dyDescent="0.25">
      <c r="C43" s="160"/>
      <c r="D43" s="160"/>
    </row>
    <row r="44" spans="3:4" hidden="1" x14ac:dyDescent="0.25">
      <c r="C44" s="160"/>
      <c r="D44" s="160"/>
    </row>
    <row r="45" spans="3:4" hidden="1" x14ac:dyDescent="0.25">
      <c r="C45" s="160"/>
      <c r="D45" s="160"/>
    </row>
    <row r="46" spans="3:4" hidden="1" x14ac:dyDescent="0.25">
      <c r="C46" s="160"/>
      <c r="D46" s="160"/>
    </row>
    <row r="47" spans="3:4" hidden="1" x14ac:dyDescent="0.25">
      <c r="C47" s="160"/>
      <c r="D47" s="160"/>
    </row>
    <row r="48" spans="3:4" hidden="1" x14ac:dyDescent="0.25">
      <c r="C48" s="160"/>
      <c r="D48" s="160"/>
    </row>
    <row r="49" spans="3:4" hidden="1" x14ac:dyDescent="0.25">
      <c r="C49" s="160"/>
      <c r="D49" s="160"/>
    </row>
    <row r="50" spans="3:4" hidden="1" x14ac:dyDescent="0.25">
      <c r="C50" s="160"/>
      <c r="D50" s="160"/>
    </row>
    <row r="51" spans="3:4" hidden="1" x14ac:dyDescent="0.25">
      <c r="C51" s="160"/>
      <c r="D51" s="160"/>
    </row>
    <row r="52" spans="3:4" hidden="1" x14ac:dyDescent="0.25">
      <c r="C52" s="160"/>
      <c r="D52" s="160"/>
    </row>
    <row r="53" spans="3:4" hidden="1" x14ac:dyDescent="0.25">
      <c r="C53" s="160"/>
      <c r="D53" s="160"/>
    </row>
    <row r="54" spans="3:4" hidden="1" x14ac:dyDescent="0.25">
      <c r="C54" s="160"/>
      <c r="D54" s="160"/>
    </row>
    <row r="55" spans="3:4" hidden="1" x14ac:dyDescent="0.25">
      <c r="C55" s="160"/>
      <c r="D55" s="160"/>
    </row>
    <row r="56" spans="3:4" hidden="1" x14ac:dyDescent="0.25">
      <c r="C56" s="160"/>
      <c r="D56" s="160"/>
    </row>
    <row r="57" spans="3:4" hidden="1" x14ac:dyDescent="0.25">
      <c r="C57" s="160"/>
      <c r="D57" s="160"/>
    </row>
    <row r="58" spans="3:4" hidden="1" x14ac:dyDescent="0.25">
      <c r="C58" s="160"/>
      <c r="D58" s="160"/>
    </row>
    <row r="59" spans="3:4" hidden="1" x14ac:dyDescent="0.25">
      <c r="C59" s="160"/>
      <c r="D59" s="160"/>
    </row>
    <row r="60" spans="3:4" hidden="1" x14ac:dyDescent="0.25">
      <c r="C60" s="160"/>
      <c r="D60" s="160"/>
    </row>
    <row r="61" spans="3:4" hidden="1" x14ac:dyDescent="0.25">
      <c r="C61" s="160"/>
      <c r="D61" s="160"/>
    </row>
    <row r="62" spans="3:4" hidden="1" x14ac:dyDescent="0.25">
      <c r="C62" s="160"/>
      <c r="D62" s="160"/>
    </row>
    <row r="63" spans="3:4" hidden="1" x14ac:dyDescent="0.25">
      <c r="C63" s="160"/>
      <c r="D63" s="160"/>
    </row>
    <row r="64" spans="3:4" hidden="1" x14ac:dyDescent="0.25">
      <c r="C64" s="160"/>
      <c r="D64" s="160"/>
    </row>
    <row r="65" spans="3:4" hidden="1" x14ac:dyDescent="0.25">
      <c r="C65" s="160"/>
      <c r="D65" s="160"/>
    </row>
    <row r="66" spans="3:4" hidden="1" x14ac:dyDescent="0.25">
      <c r="C66" s="160"/>
      <c r="D66" s="160"/>
    </row>
    <row r="67" spans="3:4" hidden="1" x14ac:dyDescent="0.25">
      <c r="C67" s="160"/>
      <c r="D67" s="160"/>
    </row>
    <row r="68" spans="3:4" hidden="1" x14ac:dyDescent="0.25">
      <c r="C68" s="160"/>
      <c r="D68" s="160"/>
    </row>
    <row r="69" spans="3:4" hidden="1" x14ac:dyDescent="0.25">
      <c r="C69" s="160"/>
      <c r="D69" s="160"/>
    </row>
    <row r="70" spans="3:4" hidden="1" x14ac:dyDescent="0.25">
      <c r="C70" s="160"/>
      <c r="D70" s="160"/>
    </row>
    <row r="71" spans="3:4" hidden="1" x14ac:dyDescent="0.25">
      <c r="C71" s="160"/>
      <c r="D71" s="160"/>
    </row>
    <row r="72" spans="3:4" hidden="1" x14ac:dyDescent="0.25">
      <c r="C72" s="160"/>
      <c r="D72" s="160"/>
    </row>
    <row r="73" spans="3:4" hidden="1" x14ac:dyDescent="0.25">
      <c r="C73" s="160"/>
      <c r="D73" s="160"/>
    </row>
    <row r="74" spans="3:4" hidden="1" x14ac:dyDescent="0.25">
      <c r="C74" s="160"/>
      <c r="D74" s="160"/>
    </row>
    <row r="75" spans="3:4" hidden="1" x14ac:dyDescent="0.25">
      <c r="C75" s="160"/>
      <c r="D75" s="160"/>
    </row>
    <row r="76" spans="3:4" hidden="1" x14ac:dyDescent="0.25">
      <c r="C76" s="160"/>
      <c r="D76" s="160"/>
    </row>
    <row r="77" spans="3:4" hidden="1" x14ac:dyDescent="0.25">
      <c r="C77" s="160"/>
      <c r="D77" s="160"/>
    </row>
    <row r="78" spans="3:4" hidden="1" x14ac:dyDescent="0.25">
      <c r="C78" s="160"/>
      <c r="D78" s="160"/>
    </row>
    <row r="79" spans="3:4" hidden="1" x14ac:dyDescent="0.25">
      <c r="C79" s="160"/>
      <c r="D79" s="160"/>
    </row>
    <row r="80" spans="3:4" hidden="1" x14ac:dyDescent="0.25">
      <c r="C80" s="160"/>
      <c r="D80" s="160"/>
    </row>
    <row r="81" spans="3:4" hidden="1" x14ac:dyDescent="0.25">
      <c r="C81" s="160"/>
      <c r="D81" s="160"/>
    </row>
    <row r="82" spans="3:4" hidden="1" x14ac:dyDescent="0.25">
      <c r="C82" s="160"/>
      <c r="D82" s="160"/>
    </row>
    <row r="83" spans="3:4" hidden="1" x14ac:dyDescent="0.25">
      <c r="C83" s="160"/>
      <c r="D83" s="160"/>
    </row>
    <row r="84" spans="3:4" hidden="1" x14ac:dyDescent="0.25">
      <c r="C84" s="160"/>
      <c r="D84" s="160"/>
    </row>
    <row r="85" spans="3:4" hidden="1" x14ac:dyDescent="0.25">
      <c r="C85" s="160"/>
      <c r="D85" s="160"/>
    </row>
    <row r="86" spans="3:4" hidden="1" x14ac:dyDescent="0.25">
      <c r="C86" s="160"/>
      <c r="D86" s="160"/>
    </row>
    <row r="87" spans="3:4" hidden="1" x14ac:dyDescent="0.25">
      <c r="C87" s="160"/>
      <c r="D87" s="160"/>
    </row>
    <row r="88" spans="3:4" hidden="1" x14ac:dyDescent="0.25">
      <c r="C88" s="160"/>
      <c r="D88" s="160"/>
    </row>
    <row r="89" spans="3:4" hidden="1" x14ac:dyDescent="0.25">
      <c r="C89" s="160"/>
      <c r="D89" s="160"/>
    </row>
    <row r="90" spans="3:4" hidden="1" x14ac:dyDescent="0.25">
      <c r="C90" s="160"/>
      <c r="D90" s="160"/>
    </row>
    <row r="91" spans="3:4" hidden="1" x14ac:dyDescent="0.25">
      <c r="C91" s="160"/>
      <c r="D91" s="160"/>
    </row>
    <row r="92" spans="3:4" hidden="1" x14ac:dyDescent="0.25">
      <c r="C92" s="160"/>
      <c r="D92" s="160"/>
    </row>
    <row r="93" spans="3:4" hidden="1" x14ac:dyDescent="0.25">
      <c r="C93" s="160"/>
      <c r="D93" s="160"/>
    </row>
    <row r="94" spans="3:4" hidden="1" x14ac:dyDescent="0.25">
      <c r="C94" s="160"/>
      <c r="D94" s="160"/>
    </row>
    <row r="95" spans="3:4" hidden="1" x14ac:dyDescent="0.25">
      <c r="C95" s="160"/>
      <c r="D95" s="160"/>
    </row>
    <row r="96" spans="3:4" hidden="1" x14ac:dyDescent="0.25">
      <c r="C96" s="160"/>
      <c r="D96" s="160"/>
    </row>
    <row r="97" spans="3:4" hidden="1" x14ac:dyDescent="0.25">
      <c r="C97" s="160"/>
      <c r="D97" s="160"/>
    </row>
    <row r="98" spans="3:4" hidden="1" x14ac:dyDescent="0.25">
      <c r="C98" s="160"/>
      <c r="D98" s="160"/>
    </row>
    <row r="99" spans="3:4" hidden="1" x14ac:dyDescent="0.25">
      <c r="C99" s="160"/>
      <c r="D99" s="160"/>
    </row>
    <row r="100" spans="3:4" hidden="1" x14ac:dyDescent="0.25">
      <c r="C100" s="160"/>
      <c r="D100" s="160"/>
    </row>
    <row r="101" spans="3:4" hidden="1" x14ac:dyDescent="0.25">
      <c r="C101" s="160"/>
      <c r="D101" s="160"/>
    </row>
    <row r="102" spans="3:4" hidden="1" x14ac:dyDescent="0.25">
      <c r="C102" s="160"/>
      <c r="D102" s="160"/>
    </row>
    <row r="103" spans="3:4" hidden="1" x14ac:dyDescent="0.25">
      <c r="C103" s="160"/>
      <c r="D103" s="160"/>
    </row>
    <row r="104" spans="3:4" hidden="1" x14ac:dyDescent="0.25">
      <c r="C104" s="160"/>
      <c r="D104" s="160"/>
    </row>
    <row r="105" spans="3:4" hidden="1" x14ac:dyDescent="0.25">
      <c r="C105" s="160"/>
      <c r="D105" s="160"/>
    </row>
    <row r="106" spans="3:4" hidden="1" x14ac:dyDescent="0.25">
      <c r="C106" s="160"/>
      <c r="D106" s="160"/>
    </row>
    <row r="107" spans="3:4" hidden="1" x14ac:dyDescent="0.25">
      <c r="C107" s="160"/>
      <c r="D107" s="160"/>
    </row>
    <row r="108" spans="3:4" hidden="1" x14ac:dyDescent="0.25">
      <c r="C108" s="160"/>
      <c r="D108" s="160"/>
    </row>
    <row r="109" spans="3:4" hidden="1" x14ac:dyDescent="0.25">
      <c r="C109" s="160"/>
      <c r="D109" s="160"/>
    </row>
    <row r="110" spans="3:4" hidden="1" x14ac:dyDescent="0.25">
      <c r="C110" s="160"/>
      <c r="D110" s="160"/>
    </row>
    <row r="111" spans="3:4" hidden="1" x14ac:dyDescent="0.25">
      <c r="C111" s="160"/>
      <c r="D111" s="160"/>
    </row>
    <row r="112" spans="3:4" hidden="1" x14ac:dyDescent="0.25">
      <c r="C112" s="160"/>
      <c r="D112" s="160"/>
    </row>
    <row r="113" spans="3:4" hidden="1" x14ac:dyDescent="0.25">
      <c r="C113" s="160"/>
      <c r="D113" s="160"/>
    </row>
    <row r="114" spans="3:4" hidden="1" x14ac:dyDescent="0.25">
      <c r="C114" s="160"/>
      <c r="D114" s="160"/>
    </row>
    <row r="115" spans="3:4" hidden="1" x14ac:dyDescent="0.25">
      <c r="C115" s="160"/>
      <c r="D115" s="160"/>
    </row>
    <row r="116" spans="3:4" hidden="1" x14ac:dyDescent="0.25">
      <c r="C116" s="160"/>
      <c r="D116" s="160"/>
    </row>
    <row r="117" spans="3:4" hidden="1" x14ac:dyDescent="0.25">
      <c r="C117" s="160"/>
      <c r="D117" s="160"/>
    </row>
    <row r="118" spans="3:4" hidden="1" x14ac:dyDescent="0.25">
      <c r="C118" s="160"/>
      <c r="D118" s="160"/>
    </row>
    <row r="119" spans="3:4" hidden="1" x14ac:dyDescent="0.25">
      <c r="C119" s="160"/>
      <c r="D119" s="160"/>
    </row>
    <row r="120" spans="3:4" hidden="1" x14ac:dyDescent="0.25">
      <c r="C120" s="160"/>
      <c r="D120" s="160"/>
    </row>
    <row r="121" spans="3:4" hidden="1" x14ac:dyDescent="0.25">
      <c r="C121" s="160"/>
      <c r="D121" s="160"/>
    </row>
    <row r="122" spans="3:4" hidden="1" x14ac:dyDescent="0.25">
      <c r="C122" s="160"/>
      <c r="D122" s="160"/>
    </row>
    <row r="123" spans="3:4" hidden="1" x14ac:dyDescent="0.25">
      <c r="C123" s="160"/>
      <c r="D123" s="160"/>
    </row>
    <row r="124" spans="3:4" hidden="1" x14ac:dyDescent="0.25">
      <c r="C124" s="160"/>
      <c r="D124" s="160"/>
    </row>
    <row r="125" spans="3:4" hidden="1" x14ac:dyDescent="0.25">
      <c r="C125" s="160"/>
      <c r="D125" s="160"/>
    </row>
    <row r="126" spans="3:4" hidden="1" x14ac:dyDescent="0.25">
      <c r="C126" s="160"/>
      <c r="D126" s="160"/>
    </row>
    <row r="127" spans="3:4" hidden="1" x14ac:dyDescent="0.25">
      <c r="C127" s="160"/>
      <c r="D127" s="160"/>
    </row>
    <row r="128" spans="3:4" hidden="1" x14ac:dyDescent="0.25">
      <c r="C128" s="160"/>
      <c r="D128" s="160"/>
    </row>
    <row r="129" spans="3:4" hidden="1" x14ac:dyDescent="0.25">
      <c r="C129" s="160"/>
      <c r="D129" s="160"/>
    </row>
    <row r="130" spans="3:4" hidden="1" x14ac:dyDescent="0.25">
      <c r="C130" s="160"/>
      <c r="D130" s="160"/>
    </row>
    <row r="131" spans="3:4" hidden="1" x14ac:dyDescent="0.25">
      <c r="C131" s="160"/>
      <c r="D131" s="160"/>
    </row>
    <row r="132" spans="3:4" hidden="1" x14ac:dyDescent="0.25">
      <c r="C132" s="160"/>
      <c r="D132" s="160"/>
    </row>
    <row r="133" spans="3:4" hidden="1" x14ac:dyDescent="0.25">
      <c r="C133" s="160"/>
      <c r="D133" s="160"/>
    </row>
    <row r="134" spans="3:4" hidden="1" x14ac:dyDescent="0.25">
      <c r="C134" s="160"/>
      <c r="D134" s="160"/>
    </row>
    <row r="135" spans="3:4" hidden="1" x14ac:dyDescent="0.25">
      <c r="C135" s="160"/>
      <c r="D135" s="160"/>
    </row>
    <row r="136" spans="3:4" hidden="1" x14ac:dyDescent="0.25">
      <c r="C136" s="160"/>
      <c r="D136" s="160"/>
    </row>
    <row r="137" spans="3:4" hidden="1" x14ac:dyDescent="0.25">
      <c r="C137" s="160"/>
      <c r="D137" s="160"/>
    </row>
    <row r="138" spans="3:4" hidden="1" x14ac:dyDescent="0.25">
      <c r="C138" s="160"/>
      <c r="D138" s="160"/>
    </row>
    <row r="139" spans="3:4" hidden="1" x14ac:dyDescent="0.25">
      <c r="C139" s="160"/>
      <c r="D139" s="160"/>
    </row>
    <row r="140" spans="3:4" hidden="1" x14ac:dyDescent="0.25">
      <c r="C140" s="160"/>
      <c r="D140" s="160"/>
    </row>
    <row r="141" spans="3:4" hidden="1" x14ac:dyDescent="0.25">
      <c r="C141" s="160"/>
      <c r="D141" s="160"/>
    </row>
    <row r="142" spans="3:4" hidden="1" x14ac:dyDescent="0.25">
      <c r="C142" s="160"/>
      <c r="D142" s="160"/>
    </row>
    <row r="143" spans="3:4" hidden="1" x14ac:dyDescent="0.25">
      <c r="C143" s="160"/>
      <c r="D143" s="160"/>
    </row>
    <row r="144" spans="3:4" hidden="1" x14ac:dyDescent="0.25">
      <c r="C144" s="160"/>
      <c r="D144" s="160"/>
    </row>
    <row r="145" spans="3:4" hidden="1" x14ac:dyDescent="0.25">
      <c r="C145" s="160"/>
      <c r="D145" s="160"/>
    </row>
    <row r="146" spans="3:4" hidden="1" x14ac:dyDescent="0.25">
      <c r="C146" s="160"/>
      <c r="D146" s="160"/>
    </row>
    <row r="147" spans="3:4" hidden="1" x14ac:dyDescent="0.25">
      <c r="C147" s="160"/>
      <c r="D147" s="160"/>
    </row>
    <row r="148" spans="3:4" hidden="1" x14ac:dyDescent="0.25">
      <c r="C148" s="160"/>
      <c r="D148" s="160"/>
    </row>
    <row r="149" spans="3:4" hidden="1" x14ac:dyDescent="0.25">
      <c r="C149" s="160"/>
      <c r="D149" s="160"/>
    </row>
    <row r="150" spans="3:4" hidden="1" x14ac:dyDescent="0.25">
      <c r="C150" s="160"/>
      <c r="D150" s="160"/>
    </row>
    <row r="151" spans="3:4" hidden="1" x14ac:dyDescent="0.25">
      <c r="C151" s="160"/>
      <c r="D151" s="160"/>
    </row>
    <row r="152" spans="3:4" hidden="1" x14ac:dyDescent="0.25">
      <c r="C152" s="160"/>
      <c r="D152" s="160"/>
    </row>
    <row r="153" spans="3:4" hidden="1" x14ac:dyDescent="0.25">
      <c r="C153" s="160"/>
      <c r="D153" s="160"/>
    </row>
    <row r="154" spans="3:4" hidden="1" x14ac:dyDescent="0.25">
      <c r="C154" s="160"/>
      <c r="D154" s="160"/>
    </row>
    <row r="155" spans="3:4" hidden="1" x14ac:dyDescent="0.25">
      <c r="C155" s="160"/>
      <c r="D155" s="160"/>
    </row>
    <row r="156" spans="3:4" hidden="1" x14ac:dyDescent="0.25">
      <c r="C156" s="160"/>
      <c r="D156" s="160"/>
    </row>
    <row r="157" spans="3:4" hidden="1" x14ac:dyDescent="0.25">
      <c r="C157" s="160"/>
      <c r="D157" s="160"/>
    </row>
    <row r="158" spans="3:4" hidden="1" x14ac:dyDescent="0.25">
      <c r="C158" s="160"/>
      <c r="D158" s="160"/>
    </row>
    <row r="159" spans="3:4" hidden="1" x14ac:dyDescent="0.25">
      <c r="C159" s="160"/>
      <c r="D159" s="160"/>
    </row>
    <row r="160" spans="3:4" hidden="1" x14ac:dyDescent="0.25">
      <c r="C160" s="160"/>
      <c r="D160" s="160"/>
    </row>
    <row r="161" spans="3:4" hidden="1" x14ac:dyDescent="0.25">
      <c r="C161" s="160"/>
      <c r="D161" s="160"/>
    </row>
    <row r="162" spans="3:4" hidden="1" x14ac:dyDescent="0.25">
      <c r="C162" s="160"/>
      <c r="D162" s="160"/>
    </row>
    <row r="163" spans="3:4" hidden="1" x14ac:dyDescent="0.25">
      <c r="C163" s="160"/>
      <c r="D163" s="160"/>
    </row>
    <row r="164" spans="3:4" hidden="1" x14ac:dyDescent="0.25">
      <c r="C164" s="160"/>
      <c r="D164" s="160"/>
    </row>
    <row r="165" spans="3:4" hidden="1" x14ac:dyDescent="0.25">
      <c r="C165" s="160"/>
      <c r="D165" s="160"/>
    </row>
    <row r="166" spans="3:4" hidden="1" x14ac:dyDescent="0.25">
      <c r="C166" s="160"/>
      <c r="D166" s="160"/>
    </row>
    <row r="167" spans="3:4" hidden="1" x14ac:dyDescent="0.25">
      <c r="C167" s="160"/>
      <c r="D167" s="160"/>
    </row>
    <row r="168" spans="3:4" hidden="1" x14ac:dyDescent="0.25">
      <c r="C168" s="160"/>
      <c r="D168" s="160"/>
    </row>
    <row r="169" spans="3:4" hidden="1" x14ac:dyDescent="0.25">
      <c r="C169" s="160"/>
      <c r="D169" s="160"/>
    </row>
    <row r="170" spans="3:4" hidden="1" x14ac:dyDescent="0.25">
      <c r="C170" s="160"/>
      <c r="D170" s="160"/>
    </row>
    <row r="171" spans="3:4" hidden="1" x14ac:dyDescent="0.25">
      <c r="C171" s="160"/>
      <c r="D171" s="160"/>
    </row>
    <row r="172" spans="3:4" hidden="1" x14ac:dyDescent="0.25">
      <c r="C172" s="160"/>
      <c r="D172" s="160"/>
    </row>
    <row r="173" spans="3:4" hidden="1" x14ac:dyDescent="0.25">
      <c r="C173" s="160"/>
      <c r="D173" s="160"/>
    </row>
    <row r="174" spans="3:4" hidden="1" x14ac:dyDescent="0.25">
      <c r="C174" s="160"/>
      <c r="D174" s="160"/>
    </row>
    <row r="175" spans="3:4" hidden="1" x14ac:dyDescent="0.25">
      <c r="C175" s="160"/>
      <c r="D175" s="160"/>
    </row>
    <row r="176" spans="3:4" hidden="1" x14ac:dyDescent="0.25">
      <c r="C176" s="160"/>
      <c r="D176" s="160"/>
    </row>
    <row r="177" spans="3:4" hidden="1" x14ac:dyDescent="0.25">
      <c r="C177" s="160"/>
      <c r="D177" s="160"/>
    </row>
    <row r="178" spans="3:4" hidden="1" x14ac:dyDescent="0.25">
      <c r="C178" s="160"/>
      <c r="D178" s="160"/>
    </row>
    <row r="179" spans="3:4" hidden="1" x14ac:dyDescent="0.25">
      <c r="C179" s="160"/>
      <c r="D179" s="160"/>
    </row>
    <row r="180" spans="3:4" hidden="1" x14ac:dyDescent="0.25">
      <c r="C180" s="160"/>
      <c r="D180" s="160"/>
    </row>
    <row r="181" spans="3:4" hidden="1" x14ac:dyDescent="0.25">
      <c r="C181" s="160"/>
      <c r="D181" s="160"/>
    </row>
    <row r="182" spans="3:4" hidden="1" x14ac:dyDescent="0.25">
      <c r="C182" s="160"/>
      <c r="D182" s="160"/>
    </row>
    <row r="183" spans="3:4" hidden="1" x14ac:dyDescent="0.25">
      <c r="C183" s="160"/>
      <c r="D183" s="160"/>
    </row>
    <row r="184" spans="3:4" hidden="1" x14ac:dyDescent="0.25">
      <c r="C184" s="160"/>
      <c r="D184" s="160"/>
    </row>
    <row r="185" spans="3:4" hidden="1" x14ac:dyDescent="0.25">
      <c r="C185" s="160"/>
      <c r="D185" s="160"/>
    </row>
    <row r="186" spans="3:4" hidden="1" x14ac:dyDescent="0.25">
      <c r="C186" s="160"/>
      <c r="D186" s="160"/>
    </row>
    <row r="187" spans="3:4" hidden="1" x14ac:dyDescent="0.25">
      <c r="C187" s="160"/>
      <c r="D187" s="160"/>
    </row>
    <row r="188" spans="3:4" hidden="1" x14ac:dyDescent="0.25">
      <c r="C188" s="160"/>
      <c r="D188" s="160"/>
    </row>
    <row r="189" spans="3:4" hidden="1" x14ac:dyDescent="0.25">
      <c r="C189" s="160"/>
      <c r="D189" s="160"/>
    </row>
    <row r="190" spans="3:4" hidden="1" x14ac:dyDescent="0.25">
      <c r="C190" s="160"/>
      <c r="D190" s="160"/>
    </row>
    <row r="191" spans="3:4" hidden="1" x14ac:dyDescent="0.25">
      <c r="C191" s="160"/>
      <c r="D191" s="160"/>
    </row>
    <row r="192" spans="3:4" hidden="1" x14ac:dyDescent="0.25">
      <c r="C192" s="160"/>
      <c r="D192" s="160"/>
    </row>
    <row r="193" spans="3:4" hidden="1" x14ac:dyDescent="0.25">
      <c r="C193" s="160"/>
      <c r="D193" s="160"/>
    </row>
    <row r="194" spans="3:4" hidden="1" x14ac:dyDescent="0.25">
      <c r="C194" s="160"/>
      <c r="D194" s="160"/>
    </row>
    <row r="195" spans="3:4" hidden="1" x14ac:dyDescent="0.25">
      <c r="C195" s="160"/>
      <c r="D195" s="160"/>
    </row>
    <row r="196" spans="3:4" hidden="1" x14ac:dyDescent="0.25">
      <c r="C196" s="160"/>
      <c r="D196" s="160"/>
    </row>
    <row r="197" spans="3:4" hidden="1" x14ac:dyDescent="0.25">
      <c r="C197" s="160"/>
      <c r="D197" s="160"/>
    </row>
    <row r="198" spans="3:4" hidden="1" x14ac:dyDescent="0.25">
      <c r="C198" s="160"/>
      <c r="D198" s="160"/>
    </row>
    <row r="199" spans="3:4" hidden="1" x14ac:dyDescent="0.25">
      <c r="C199" s="160"/>
      <c r="D199" s="160"/>
    </row>
    <row r="200" spans="3:4" hidden="1" x14ac:dyDescent="0.25">
      <c r="C200" s="160"/>
      <c r="D200" s="160"/>
    </row>
    <row r="201" spans="3:4" hidden="1" x14ac:dyDescent="0.25">
      <c r="C201" s="160"/>
      <c r="D201" s="160"/>
    </row>
  </sheetData>
  <sheetProtection algorithmName="SHA-512" hashValue="oIbKxsK+H+5+NoA/qWj3oDu4eEYnZ+JM7bfo4BR9m84CwsH/PXD1su0F2zno+CzONx0ISTRmyNfos5kYROnDkQ==" saltValue="IEPPgzAlKP9PNSae3uBtvg==" spinCount="100000" sheet="1" objects="1" scenarios="1"/>
  <mergeCells count="1">
    <mergeCell ref="C3:C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32DCAB0B6A3E447B2618D72730D93FD" ma:contentTypeVersion="11" ma:contentTypeDescription="Opret et nyt dokument." ma:contentTypeScope="" ma:versionID="5c227d90e12bdbd467a40205eaf66423">
  <xsd:schema xmlns:xsd="http://www.w3.org/2001/XMLSchema" xmlns:xs="http://www.w3.org/2001/XMLSchema" xmlns:p="http://schemas.microsoft.com/office/2006/metadata/properties" xmlns:ns2="6b1e9ab5-4383-495f-b633-c9cbf0cf7372" xmlns:ns3="c8e2e3bd-313f-4310-8a69-ebcf6eb1e1c4" targetNamespace="http://schemas.microsoft.com/office/2006/metadata/properties" ma:root="true" ma:fieldsID="aa3d3472726a23c4839898c313f1fdee" ns2:_="" ns3:_="">
    <xsd:import namespace="6b1e9ab5-4383-495f-b633-c9cbf0cf7372"/>
    <xsd:import namespace="c8e2e3bd-313f-4310-8a69-ebcf6eb1e1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eDoc"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1e9ab5-4383-495f-b633-c9cbf0cf73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eDoc" ma:index="11" nillable="true" ma:displayName="eDoc" ma:internalName="eDoc">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Billedmærker" ma:readOnly="false" ma:fieldId="{5cf76f15-5ced-4ddc-b409-7134ff3c332f}" ma:taxonomyMulti="true" ma:sspId="e6a412d2-aea5-45d9-add9-4615ec18655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e2e3bd-313f-4310-8a69-ebcf6eb1e1c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80e8966-ad80-47e0-bb1b-528dacb4c8fe}" ma:internalName="TaxCatchAll" ma:showField="CatchAllData" ma:web="c8e2e3bd-313f-4310-8a69-ebcf6eb1e1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Doc xmlns="6b1e9ab5-4383-495f-b633-c9cbf0cf7372" xsi:nil="true"/>
    <TaxCatchAll xmlns="c8e2e3bd-313f-4310-8a69-ebcf6eb1e1c4" xsi:nil="true"/>
    <lcf76f155ced4ddcb4097134ff3c332f xmlns="6b1e9ab5-4383-495f-b633-c9cbf0cf737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9C4CFCA-45AA-45C6-85ED-EB17E76D28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1e9ab5-4383-495f-b633-c9cbf0cf7372"/>
    <ds:schemaRef ds:uri="c8e2e3bd-313f-4310-8a69-ebcf6eb1e1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BF727A-83DD-491D-ABA8-4356E1669657}">
  <ds:schemaRefs>
    <ds:schemaRef ds:uri="http://schemas.microsoft.com/sharepoint/v3/contenttype/forms"/>
  </ds:schemaRefs>
</ds:datastoreItem>
</file>

<file path=customXml/itemProps3.xml><?xml version="1.0" encoding="utf-8"?>
<ds:datastoreItem xmlns:ds="http://schemas.openxmlformats.org/officeDocument/2006/customXml" ds:itemID="{3B4F182C-BA22-4216-ADD2-4C4428090F7E}">
  <ds:schemaRefs>
    <ds:schemaRef ds:uri="http://schemas.microsoft.com/office/2006/documentManagement/types"/>
    <ds:schemaRef ds:uri="http://www.w3.org/XML/1998/namespace"/>
    <ds:schemaRef ds:uri="http://purl.org/dc/dcmitype/"/>
    <ds:schemaRef ds:uri="c8e2e3bd-313f-4310-8a69-ebcf6eb1e1c4"/>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6b1e9ab5-4383-495f-b633-c9cbf0cf737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Navngivne områder</vt:lpstr>
      </vt:variant>
      <vt:variant>
        <vt:i4>25</vt:i4>
      </vt:variant>
    </vt:vector>
  </HeadingPairs>
  <TitlesOfParts>
    <vt:vector size="28" baseType="lpstr">
      <vt:lpstr>BarselsfondenTilskud</vt:lpstr>
      <vt:lpstr>Dagpengesatser</vt:lpstr>
      <vt:lpstr>Info</vt:lpstr>
      <vt:lpstr>AB158AB158</vt:lpstr>
      <vt:lpstr>AntalHverdageSlut</vt:lpstr>
      <vt:lpstr>AntalHverdageStart</vt:lpstr>
      <vt:lpstr>Dagpengeprmaaned</vt:lpstr>
      <vt:lpstr>Dagpengetimesats</vt:lpstr>
      <vt:lpstr>DiffMellemMetoderne</vt:lpstr>
      <vt:lpstr>FaktiskFoedsel</vt:lpstr>
      <vt:lpstr>fireugerfoer</vt:lpstr>
      <vt:lpstr>Forventetfoedsel</vt:lpstr>
      <vt:lpstr>FuldtidsFraevaer</vt:lpstr>
      <vt:lpstr>GammelMetode</vt:lpstr>
      <vt:lpstr>GammelMetodeResultatDagpenge</vt:lpstr>
      <vt:lpstr>Hverdage_den_pågældene_måned</vt:lpstr>
      <vt:lpstr>LoennenAendret</vt:lpstr>
      <vt:lpstr>LønMedPension</vt:lpstr>
      <vt:lpstr>NyMetodeResultat</vt:lpstr>
      <vt:lpstr>OtteUgerfoer</vt:lpstr>
      <vt:lpstr>SlutBarsel</vt:lpstr>
      <vt:lpstr>StartBarsel</vt:lpstr>
      <vt:lpstr>TimeNorm</vt:lpstr>
      <vt:lpstr>TotalDagpengeGammelMetode</vt:lpstr>
      <vt:lpstr>TotalDagpengePerTime</vt:lpstr>
      <vt:lpstr>TotalGGPerDag</vt:lpstr>
      <vt:lpstr>TotalNSG</vt:lpstr>
      <vt:lpstr>AateUgerfoer</vt:lpstr>
    </vt:vector>
  </TitlesOfParts>
  <Manager/>
  <Company>Københavns Kommune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A19H</dc:creator>
  <cp:keywords/>
  <dc:description/>
  <cp:lastModifiedBy>Hussien Haidar Najem</cp:lastModifiedBy>
  <cp:revision/>
  <dcterms:created xsi:type="dcterms:W3CDTF">2013-02-07T15:49:02Z</dcterms:created>
  <dcterms:modified xsi:type="dcterms:W3CDTF">2026-07-16T08:44:07Z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0x010100F32DCAB0B6A3E447B2618D72730D93FD</vt:lpwstr>
  </property>
  <property fmtid="{D5CDD505-2E9C-101B-9397-08002B2CF9AE}" pid="3" name="Order">
    <vt:r8>100</vt:r8>
  </property>
  <property fmtid="{D5CDD505-2E9C-101B-9397-08002B2CF9AE}" pid="4" name="Sensitivity">
    <vt:lpwstr/>
  </property>
  <property fmtid="{D5CDD505-2E9C-101B-9397-08002B2CF9AE}" pid="5" name="AuthorIds_UIVersion_2560">
    <vt:lpwstr>159</vt:lpwstr>
  </property>
  <property fmtid="{D5CDD505-2E9C-101B-9397-08002B2CF9AE}" pid="6" name="xd_Signature">
    <vt:bool>false</vt:bool>
  </property>
  <property fmtid="{D5CDD505-2E9C-101B-9397-08002B2CF9AE}" pid="7" name="xd_ProgID">
    <vt:lpwstr/>
  </property>
  <property fmtid="{D5CDD505-2E9C-101B-9397-08002B2CF9AE}" pid="8" name="MigrationPath">
    <vt:lpwstr>\\kk-dfs.kk.dk\ks$\KsData\Leverancecenter Økonomi\Team Dagpenge og refusion\Barselsfonden\Selvejende\Beregninger\2018\000 - Anmodningsskema 2018.xlsx</vt:lpwstr>
  </property>
  <property fmtid="{D5CDD505-2E9C-101B-9397-08002B2CF9AE}" pid="9" name="MigrationDirectoryID">
    <vt:lpwstr>4C6D0549BEF7623A68545BFD842AAF8440E31477</vt:lpwstr>
  </property>
  <property fmtid="{D5CDD505-2E9C-101B-9397-08002B2CF9AE}" pid="10" name="TemplateUrl">
    <vt:lpwstr/>
  </property>
  <property fmtid="{D5CDD505-2E9C-101B-9397-08002B2CF9AE}" pid="11" name="ComplianceAssetId">
    <vt:lpwstr/>
  </property>
  <property fmtid="{D5CDD505-2E9C-101B-9397-08002B2CF9AE}" pid="12" name="Fortrolighed">
    <vt:lpwstr/>
  </property>
  <property fmtid="{D5CDD505-2E9C-101B-9397-08002B2CF9AE}" pid="13" name="TaxCatchAll">
    <vt:lpwstr/>
  </property>
  <property fmtid="{D5CDD505-2E9C-101B-9397-08002B2CF9AE}" pid="14" name="j2c2601e249f4d2993f2fcc4fe83f7c1">
    <vt:lpwstr/>
  </property>
  <property fmtid="{D5CDD505-2E9C-101B-9397-08002B2CF9AE}" pid="15" name="_ExtendedDescription">
    <vt:lpwstr/>
  </property>
  <property fmtid="{D5CDD505-2E9C-101B-9397-08002B2CF9AE}" pid="16" name="MediaServiceImageTags">
    <vt:lpwstr/>
  </property>
  <property fmtid="{D5CDD505-2E9C-101B-9397-08002B2CF9AE}" pid="17" name="Links">
    <vt:lpwstr>, </vt:lpwstr>
  </property>
  <property fmtid="{D5CDD505-2E9C-101B-9397-08002B2CF9AE}" pid="18" name="TriggerFlowInfo">
    <vt:lpwstr/>
  </property>
</Properties>
</file>